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" windowWidth="9480" windowHeight="3795" activeTab="5"/>
  </bookViews>
  <sheets>
    <sheet name="Resultado" sheetId="1" r:id="rId1"/>
    <sheet name="Flujo" sheetId="2" r:id="rId2"/>
    <sheet name="Resumen" sheetId="3" r:id="rId3"/>
    <sheet name="Porcentaje" sheetId="4" r:id="rId4"/>
    <sheet name="Hoja1" sheetId="5" r:id="rId5"/>
    <sheet name="Ejecución" sheetId="6" r:id="rId6"/>
    <sheet name="Variación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">'Flujo'!$A$1:$N$184</definedName>
    <definedName name="_xlnm.Print_Area" localSheetId="4">'Hoja1'!$B$5:$C$46</definedName>
    <definedName name="_xlnm.Print_Area" localSheetId="0">'Resultado'!$A$2:$N$1117</definedName>
    <definedName name="_xlnm.Print_Area" localSheetId="2">'Resumen'!$A$4:$J$366</definedName>
    <definedName name="_xlnm.Print_Titles" localSheetId="1">'Flujo'!$1:$6</definedName>
    <definedName name="_xlnm.Print_Titles" localSheetId="0">'Resultado'!$1:$6</definedName>
    <definedName name="_xlnm.Print_Titles" localSheetId="2">'Resumen'!$1:$6</definedName>
  </definedNames>
  <calcPr fullCalcOnLoad="1"/>
</workbook>
</file>

<file path=xl/comments7.xml><?xml version="1.0" encoding="utf-8"?>
<comments xmlns="http://schemas.openxmlformats.org/spreadsheetml/2006/main">
  <authors>
    <author>Roseiby Cruz</author>
  </authors>
  <commentList>
    <comment ref="N50" authorId="0">
      <text>
        <r>
          <rPr>
            <b/>
            <sz val="9"/>
            <rFont val="Tahoma"/>
            <family val="2"/>
          </rPr>
          <t>Roseiby Cruz:</t>
        </r>
        <r>
          <rPr>
            <sz val="9"/>
            <rFont val="Tahoma"/>
            <family val="2"/>
          </rPr>
          <t xml:space="preserve">
Deposito no identificado en negativo en el ingresos
</t>
        </r>
      </text>
    </comment>
    <comment ref="N85" authorId="0">
      <text>
        <r>
          <rPr>
            <b/>
            <sz val="9"/>
            <rFont val="Tahoma"/>
            <family val="2"/>
          </rPr>
          <t>Roseiby Cruz:</t>
        </r>
        <r>
          <rPr>
            <sz val="9"/>
            <rFont val="Tahoma"/>
            <family val="2"/>
          </rPr>
          <t xml:space="preserve">
Fluctuación cambiaria en negativo</t>
        </r>
      </text>
    </comment>
  </commentList>
</comments>
</file>

<file path=xl/sharedStrings.xml><?xml version="1.0" encoding="utf-8"?>
<sst xmlns="http://schemas.openxmlformats.org/spreadsheetml/2006/main" count="2412" uniqueCount="1286">
  <si>
    <t>INSTITUTO DOMINICANO DE LAS TELECOMUNICACIONES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</si>
  <si>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</si>
  <si>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</si>
  <si>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</si>
  <si>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</si>
  <si>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</si>
  <si>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</si>
  <si>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</si>
  <si>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</si>
  <si>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</si>
  <si>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>INGRESOS CORRIENTES</t>
  </si>
  <si>
    <t>Contribución CDT</t>
  </si>
  <si>
    <t>Intereses Ganados</t>
  </si>
  <si>
    <t>Otros Ingresos</t>
  </si>
  <si>
    <t>GASTOS CORRIENTES</t>
  </si>
  <si>
    <t>SERVICIOS PERSONALES</t>
  </si>
  <si>
    <t>Gastos de Representación</t>
  </si>
  <si>
    <t>SERVICIOS NO PERSONALES</t>
  </si>
  <si>
    <t>MATERIALES Y SUMINISTROS</t>
  </si>
  <si>
    <t>APORTES CORRIENTES</t>
  </si>
  <si>
    <t>TOTAL GASTOS CORRIENTES</t>
  </si>
  <si>
    <t>Abril</t>
  </si>
  <si>
    <t>Mayo</t>
  </si>
  <si>
    <t>TOTAL DE INGRESOS</t>
  </si>
  <si>
    <t>AGOSTO</t>
  </si>
  <si>
    <t>Enero</t>
  </si>
  <si>
    <t>Febrero</t>
  </si>
  <si>
    <t>Marzo</t>
  </si>
  <si>
    <t>Junio</t>
  </si>
  <si>
    <t>Julio</t>
  </si>
  <si>
    <t>Agosto</t>
  </si>
  <si>
    <t>Octubre</t>
  </si>
  <si>
    <t>SEPTIEMBRE</t>
  </si>
  <si>
    <t>OCTUBRE</t>
  </si>
  <si>
    <t>NOVIEMBRE</t>
  </si>
  <si>
    <t>DICIEMBRE</t>
  </si>
  <si>
    <t xml:space="preserve">     Salario Personal</t>
  </si>
  <si>
    <t xml:space="preserve">     Alquiler de Edificio</t>
  </si>
  <si>
    <t xml:space="preserve">     Alquiler de Parqueo</t>
  </si>
  <si>
    <t xml:space="preserve">     Viajes y Dietas Interior</t>
  </si>
  <si>
    <t xml:space="preserve">     Viajes y Dietas Exterior</t>
  </si>
  <si>
    <t xml:space="preserve">     Entrenamientos Locales</t>
  </si>
  <si>
    <t>Deprec. Y Amortizaciones</t>
  </si>
  <si>
    <t>Depreciaciones</t>
  </si>
  <si>
    <t>Amortizaciones</t>
  </si>
  <si>
    <t>Presupuesto</t>
  </si>
  <si>
    <t>ESTADO DE RESULTADOS - PROYECTADO</t>
  </si>
  <si>
    <t>Noviembre</t>
  </si>
  <si>
    <t>INDOTEL</t>
  </si>
  <si>
    <t>FLUJO DE EFECTIVO - PROYECTADO</t>
  </si>
  <si>
    <t>Sept.</t>
  </si>
  <si>
    <t>Diciembre</t>
  </si>
  <si>
    <t>Entradas de Efectivo</t>
  </si>
  <si>
    <t>CDT</t>
  </si>
  <si>
    <t>Sub-Total</t>
  </si>
  <si>
    <t>Total</t>
  </si>
  <si>
    <t>Salidas de Efectivo</t>
  </si>
  <si>
    <t>Menos CxP y Gastos Provisionados</t>
  </si>
  <si>
    <t>Total Salidas  concepto gastos</t>
  </si>
  <si>
    <t>Adquisiciones Activos Fijos</t>
  </si>
  <si>
    <t xml:space="preserve">   Equipos Informática</t>
  </si>
  <si>
    <t xml:space="preserve">   Mobiliarios y Equipos</t>
  </si>
  <si>
    <t xml:space="preserve">   Software</t>
  </si>
  <si>
    <t xml:space="preserve">   Mejoras Propiedades</t>
  </si>
  <si>
    <t>Total salida concep. act. fijos</t>
  </si>
  <si>
    <t>Amortizaciones de Deudas</t>
  </si>
  <si>
    <t>Total Salida Amortización Deudas</t>
  </si>
  <si>
    <t>FDT</t>
  </si>
  <si>
    <t>Disponibilidad Final</t>
  </si>
  <si>
    <t>Servicios Personales</t>
  </si>
  <si>
    <t>Aportes Corrientes</t>
  </si>
  <si>
    <t>%</t>
  </si>
  <si>
    <t>Diferencia</t>
  </si>
  <si>
    <t>URR</t>
  </si>
  <si>
    <t xml:space="preserve">  Vehículos</t>
  </si>
  <si>
    <t xml:space="preserve">  Mejoras Propiedades</t>
  </si>
  <si>
    <t xml:space="preserve">  Software</t>
  </si>
  <si>
    <t xml:space="preserve">  Mobiliario y Equipos</t>
  </si>
  <si>
    <t xml:space="preserve">  Deuda con la UIT</t>
  </si>
  <si>
    <t xml:space="preserve">  Editora El Siglo</t>
  </si>
  <si>
    <t xml:space="preserve">  Price Waterhouse</t>
  </si>
  <si>
    <t xml:space="preserve">  Ruiz Centro Stereo</t>
  </si>
  <si>
    <t>Total Amortizaciones de Deudas</t>
  </si>
  <si>
    <t>TOTAL DE GASTOS CORRIENTES</t>
  </si>
  <si>
    <t>TOTAL GASTOS CORRIENTES Y DE INVERSION</t>
  </si>
  <si>
    <t xml:space="preserve">  Parrado Art Design</t>
  </si>
  <si>
    <t>INGRESOS</t>
  </si>
  <si>
    <t>INVERSION</t>
  </si>
  <si>
    <t>PORCENTAJE</t>
  </si>
  <si>
    <t>TOTAL GASTOS E INVERSION</t>
  </si>
  <si>
    <t>DESCRIPCION</t>
  </si>
  <si>
    <t>VALOR</t>
  </si>
  <si>
    <t>TOTAL DE GASTOS</t>
  </si>
  <si>
    <t>DEPREC. Y AMORTIZACION</t>
  </si>
  <si>
    <t xml:space="preserve">     Honorarios por Servicios Especiales</t>
  </si>
  <si>
    <t>Gratificaciones y Bonificaciones</t>
  </si>
  <si>
    <t xml:space="preserve">     Regalía Pascual</t>
  </si>
  <si>
    <t xml:space="preserve">     Vacaciones</t>
  </si>
  <si>
    <t xml:space="preserve">     Prestaciones Laborales</t>
  </si>
  <si>
    <t xml:space="preserve">     Correos y Telegrafos</t>
  </si>
  <si>
    <t xml:space="preserve">     Energía Eléctrica</t>
  </si>
  <si>
    <t xml:space="preserve">     Agua y Basura</t>
  </si>
  <si>
    <t xml:space="preserve">     Publicaciones</t>
  </si>
  <si>
    <t xml:space="preserve">     Publicaciones en el Exterior</t>
  </si>
  <si>
    <t>Seguros</t>
  </si>
  <si>
    <t xml:space="preserve">     Bienes Inmuebles</t>
  </si>
  <si>
    <t xml:space="preserve">     Seguro de Vida</t>
  </si>
  <si>
    <t xml:space="preserve">     Seguro de Salud</t>
  </si>
  <si>
    <t xml:space="preserve">     Seguro Odontológico</t>
  </si>
  <si>
    <t xml:space="preserve">     Mantenimiento y Rep. de Vehículos</t>
  </si>
  <si>
    <t>Otros Servicios No Personales</t>
  </si>
  <si>
    <t xml:space="preserve">     Servicios Especiales</t>
  </si>
  <si>
    <t>Materiales y Suministros</t>
  </si>
  <si>
    <t xml:space="preserve">     Alimentos para humanos</t>
  </si>
  <si>
    <t>Becas y Viajes de Estudios</t>
  </si>
  <si>
    <t>Productos de Papel, Carton e Impresos</t>
  </si>
  <si>
    <t xml:space="preserve">     Bebidas no alcoholicas</t>
  </si>
  <si>
    <t xml:space="preserve">     Bebidas alcoholicas</t>
  </si>
  <si>
    <t>Textiles y Vestuarios</t>
  </si>
  <si>
    <t xml:space="preserve">     Uniformes</t>
  </si>
  <si>
    <t xml:space="preserve">     Neumaticos y Camaras de Aire</t>
  </si>
  <si>
    <t>Productos de Cuero y Caucho</t>
  </si>
  <si>
    <t>Pensiones</t>
  </si>
  <si>
    <t>Aportes Directos a Personas</t>
  </si>
  <si>
    <t xml:space="preserve">     Donaciones y Contribuciones</t>
  </si>
  <si>
    <t>Aportes a Instituciones del Sector Publico</t>
  </si>
  <si>
    <t>Cuotas y ayudas Internacionales</t>
  </si>
  <si>
    <t>Becas de Entrenamientos y Capacitación</t>
  </si>
  <si>
    <t xml:space="preserve">     Viajes de Estudios</t>
  </si>
  <si>
    <t>GASTOS FINANCIEROS</t>
  </si>
  <si>
    <t>Otros Aportes Corrientes Privados</t>
  </si>
  <si>
    <t xml:space="preserve">     Intereses Deuda Interna</t>
  </si>
  <si>
    <t xml:space="preserve">     Intereses Deuda Externa</t>
  </si>
  <si>
    <t xml:space="preserve">     Edificio</t>
  </si>
  <si>
    <t xml:space="preserve">     Mobiliarios y Equipos de Oficina</t>
  </si>
  <si>
    <t xml:space="preserve">     Mobiliarios y Equipos de Transporte</t>
  </si>
  <si>
    <t xml:space="preserve">     Equipos de Computos</t>
  </si>
  <si>
    <t xml:space="preserve">     Equipo Mitilitar y de Seguridad</t>
  </si>
  <si>
    <t xml:space="preserve">     Equipos Varios</t>
  </si>
  <si>
    <t xml:space="preserve">     Propiedades arrendadas</t>
  </si>
  <si>
    <t xml:space="preserve">     Propiedades Propias</t>
  </si>
  <si>
    <t xml:space="preserve">     Softwares, Licencias, programas de Comp.</t>
  </si>
  <si>
    <t xml:space="preserve">     Comisiones y Gastos Bancarios</t>
  </si>
  <si>
    <t xml:space="preserve">  Servicios Básicos</t>
  </si>
  <si>
    <t xml:space="preserve">  Depreciación</t>
  </si>
  <si>
    <t xml:space="preserve">  Amortizaciones</t>
  </si>
  <si>
    <t xml:space="preserve">     Impresión y Encuadernación</t>
  </si>
  <si>
    <t xml:space="preserve">     Otros Alquileres</t>
  </si>
  <si>
    <t>Productos Medicinales y farmaceuticos</t>
  </si>
  <si>
    <t>Productos Varios y Utiles Diversos</t>
  </si>
  <si>
    <t xml:space="preserve">     Utiles de limpieza</t>
  </si>
  <si>
    <t xml:space="preserve">     Utilies de Cocina y Comedor</t>
  </si>
  <si>
    <t xml:space="preserve">     Productos electricos y Afines</t>
  </si>
  <si>
    <t xml:space="preserve">     Utiles Diversos</t>
  </si>
  <si>
    <t xml:space="preserve">     Limpieza de propiedades</t>
  </si>
  <si>
    <t xml:space="preserve">     Gastos Judiciales</t>
  </si>
  <si>
    <t>Transporte Almacenaje y Envios</t>
  </si>
  <si>
    <t xml:space="preserve">     Pasaje</t>
  </si>
  <si>
    <t xml:space="preserve">     Equipos de Transporte, Tracción y E.</t>
  </si>
  <si>
    <t xml:space="preserve">  Pub. Impresion y Encuadernación</t>
  </si>
  <si>
    <t xml:space="preserve">  Alimentos y Productos Agroforestales</t>
  </si>
  <si>
    <t xml:space="preserve">     Productos de Papel y Carton</t>
  </si>
  <si>
    <t xml:space="preserve">     Papel de Escritorio</t>
  </si>
  <si>
    <t>Ejecutado</t>
  </si>
  <si>
    <t>Combustibles, Lubric. y Otros Derivados</t>
  </si>
  <si>
    <t xml:space="preserve">     Combustibles, Lubric. y otros Derivados</t>
  </si>
  <si>
    <t xml:space="preserve">  Otros Activos</t>
  </si>
  <si>
    <t xml:space="preserve">     Remuneración por sistema de iguala</t>
  </si>
  <si>
    <t xml:space="preserve"> Serv. Tecnicos y uso der. Software</t>
  </si>
  <si>
    <t xml:space="preserve">     Ayuda a empleados</t>
  </si>
  <si>
    <t>Aportes a Instituciones de Seguridad</t>
  </si>
  <si>
    <t xml:space="preserve">     Otros Productos Agroforestales y otros</t>
  </si>
  <si>
    <t xml:space="preserve">     Productos de Artes Graficas</t>
  </si>
  <si>
    <t xml:space="preserve">     Otras Cuotas</t>
  </si>
  <si>
    <t>Herramientas y Repuestos menores</t>
  </si>
  <si>
    <t xml:space="preserve">     Texto de enseñanza</t>
  </si>
  <si>
    <t xml:space="preserve">     Patios y Jardines</t>
  </si>
  <si>
    <t xml:space="preserve"> Sobre Sueldos</t>
  </si>
  <si>
    <t>Viaticos</t>
  </si>
  <si>
    <t xml:space="preserve">     Personas</t>
  </si>
  <si>
    <t xml:space="preserve">  Alquileres</t>
  </si>
  <si>
    <t xml:space="preserve"> Aire Acondicionado</t>
  </si>
  <si>
    <t>Otros Mantenimientos</t>
  </si>
  <si>
    <t xml:space="preserve">   ____________________________</t>
  </si>
  <si>
    <t>REPARACIONES EXTRAORDINARIAS</t>
  </si>
  <si>
    <t xml:space="preserve">     Ayudas externas</t>
  </si>
  <si>
    <t xml:space="preserve">     Bienes Muebles (vehículos)</t>
  </si>
  <si>
    <t>Productos de Vidrio</t>
  </si>
  <si>
    <t xml:space="preserve">     Acabados Textiles</t>
  </si>
  <si>
    <t>Servicios no Personales</t>
  </si>
  <si>
    <t>Gastos Financieros</t>
  </si>
  <si>
    <t xml:space="preserve">     Seguro Ultimos Gastos</t>
  </si>
  <si>
    <t xml:space="preserve">     Otros productos de papel</t>
  </si>
  <si>
    <t xml:space="preserve">     Peaje</t>
  </si>
  <si>
    <t>Otras Bonificaciones e Incentivos</t>
  </si>
  <si>
    <t>Construcciones de Obras y Plantaciones</t>
  </si>
  <si>
    <t xml:space="preserve">     Instalaciones Lineas Telefonicas</t>
  </si>
  <si>
    <t>Aportes a Instituciones de Seguridad Social</t>
  </si>
  <si>
    <t xml:space="preserve">     Honorarios Prof. y Tec. Cuerpos Coleg.</t>
  </si>
  <si>
    <t xml:space="preserve">   Otros Activos</t>
  </si>
  <si>
    <t>Imprevistos  2%</t>
  </si>
  <si>
    <t>Servicios Básicos</t>
  </si>
  <si>
    <t>Alquileres</t>
  </si>
  <si>
    <t>Impuestos</t>
  </si>
  <si>
    <t>Cumbre Bavaro</t>
  </si>
  <si>
    <t>Imprevistos 2%</t>
  </si>
  <si>
    <t>IMPREVISTOS</t>
  </si>
  <si>
    <t>APORTE FDT</t>
  </si>
  <si>
    <t>Sueldo para Personal Temporero</t>
  </si>
  <si>
    <t xml:space="preserve">  Banco Mundial</t>
  </si>
  <si>
    <t>PORCENTAJE CDT</t>
  </si>
  <si>
    <t>Personal Temporero</t>
  </si>
  <si>
    <t>Insecticidas, Fumigantes y Otros</t>
  </si>
  <si>
    <t xml:space="preserve">     Mapas</t>
  </si>
  <si>
    <t xml:space="preserve">     Reconocimiento por antiguedad</t>
  </si>
  <si>
    <t xml:space="preserve">    Televisión y Radio</t>
  </si>
  <si>
    <t>Indotel</t>
  </si>
  <si>
    <t>Ingresos</t>
  </si>
  <si>
    <t>Vacaciones</t>
  </si>
  <si>
    <t xml:space="preserve">  Equipos de Informática</t>
  </si>
  <si>
    <t>Transferencia FDT</t>
  </si>
  <si>
    <t>TOTAL AMORTIZACIÓN DE DEUDAS</t>
  </si>
  <si>
    <t>INVERSIÓN</t>
  </si>
  <si>
    <t>TOTAL INVERSIÓN ACTIVO FIJO</t>
  </si>
  <si>
    <t>Derecho Uso del Espectro</t>
  </si>
  <si>
    <t xml:space="preserve">     Personal Nuevo</t>
  </si>
  <si>
    <t>Salario Personal</t>
  </si>
  <si>
    <t xml:space="preserve">     Cuotas Internacionales</t>
  </si>
  <si>
    <t>INGRESOS 2006</t>
  </si>
  <si>
    <t>Total Gastos 2006</t>
  </si>
  <si>
    <t xml:space="preserve">     Flete</t>
  </si>
  <si>
    <t xml:space="preserve">      Horas Extras</t>
  </si>
  <si>
    <t xml:space="preserve">      Compensación Uso de Vehículo</t>
  </si>
  <si>
    <t xml:space="preserve">  Terrenos</t>
  </si>
  <si>
    <t xml:space="preserve">     Premios Literarios, Deportivos y Art.</t>
  </si>
  <si>
    <t xml:space="preserve">  Salario Personal Nuevo</t>
  </si>
  <si>
    <t xml:space="preserve">      Consejo Directivo (001)</t>
  </si>
  <si>
    <t xml:space="preserve">      Dirección Ejecutiva (002)</t>
  </si>
  <si>
    <t xml:space="preserve">      Servicios  Corporativos (003)</t>
  </si>
  <si>
    <t xml:space="preserve">     Radiodifusión (004)</t>
  </si>
  <si>
    <t xml:space="preserve">     Consultoría Jurídica (005)</t>
  </si>
  <si>
    <t xml:space="preserve">     Auditoria Interna (006)</t>
  </si>
  <si>
    <t xml:space="preserve">     Proyectos (007)</t>
  </si>
  <si>
    <t xml:space="preserve">     Inspección (008)</t>
  </si>
  <si>
    <t xml:space="preserve">     Políticas Regulatorias  (009)</t>
  </si>
  <si>
    <t xml:space="preserve">     Concesiones y Licencias (010)</t>
  </si>
  <si>
    <t xml:space="preserve">      Defensa a la Competencia (011)</t>
  </si>
  <si>
    <t xml:space="preserve">     FDT  (012)</t>
  </si>
  <si>
    <t xml:space="preserve">     Supervsión (013)</t>
  </si>
  <si>
    <t xml:space="preserve">     SMGER (015)</t>
  </si>
  <si>
    <t xml:space="preserve">     Asuntos Internacionales (016)</t>
  </si>
  <si>
    <t xml:space="preserve">     Firma Digital  (017)</t>
  </si>
  <si>
    <t xml:space="preserve">      Informática  (018)</t>
  </si>
  <si>
    <t xml:space="preserve"> Ferias</t>
  </si>
  <si>
    <t xml:space="preserve"> Feria Estudiantes Intec</t>
  </si>
  <si>
    <t xml:space="preserve"> Feria Estudiantes UNIBE</t>
  </si>
  <si>
    <t xml:space="preserve"> Reuniones y Eventos</t>
  </si>
  <si>
    <t xml:space="preserve">  Servicios Técnicos y Prof. prestados</t>
  </si>
  <si>
    <t xml:space="preserve">     Servicios Técnicos y Prof. Prestados</t>
  </si>
  <si>
    <t>Aumento Salarial</t>
  </si>
  <si>
    <t>Ferias Varias</t>
  </si>
  <si>
    <t xml:space="preserve">     Aumento Salarial</t>
  </si>
  <si>
    <t xml:space="preserve">    Telefonos</t>
  </si>
  <si>
    <t xml:space="preserve">    Flete</t>
  </si>
  <si>
    <t>INGRESOS 2007</t>
  </si>
  <si>
    <t>Total Gastos 2007</t>
  </si>
  <si>
    <t xml:space="preserve"> Actividades Navideña</t>
  </si>
  <si>
    <t>Indemnizaciónes Especiales</t>
  </si>
  <si>
    <t xml:space="preserve">      Reordenamiento Banda 900</t>
  </si>
  <si>
    <t>Presupuestado</t>
  </si>
  <si>
    <t>Indemnizaciones esp. para Migración espectro</t>
  </si>
  <si>
    <t>Feria del Libro</t>
  </si>
  <si>
    <t xml:space="preserve">      Seguro Salud Local</t>
  </si>
  <si>
    <t xml:space="preserve">      Seguro Salud Internacional</t>
  </si>
  <si>
    <t xml:space="preserve">     COMTELCA</t>
  </si>
  <si>
    <t xml:space="preserve">     UIT</t>
  </si>
  <si>
    <t xml:space="preserve">     REGULATEL</t>
  </si>
  <si>
    <t xml:space="preserve">     Servicios Corporativos (003)</t>
  </si>
  <si>
    <t xml:space="preserve">   Equipos de comunicación y monitoreo</t>
  </si>
  <si>
    <t xml:space="preserve">  Equipos de comunicación y monitoreo</t>
  </si>
  <si>
    <t xml:space="preserve">     Defensa a la Competencia (011)</t>
  </si>
  <si>
    <t xml:space="preserve">     Servicios  Corporativos (003)</t>
  </si>
  <si>
    <t xml:space="preserve">     Dirección Ejecutiva (002)</t>
  </si>
  <si>
    <t xml:space="preserve">     Consejo Directivo (001)</t>
  </si>
  <si>
    <t xml:space="preserve">     Informática  (018)</t>
  </si>
  <si>
    <t>INGRESOS 2008</t>
  </si>
  <si>
    <t>INGRESOS CDT 2007</t>
  </si>
  <si>
    <t>INGRESOS CDT 2008</t>
  </si>
  <si>
    <t>TOTAL GASTOS 2007</t>
  </si>
  <si>
    <t>TOTAL GASTOS 2008</t>
  </si>
  <si>
    <t>Eventos y Reuniones</t>
  </si>
  <si>
    <t>Ingresos Corrientes</t>
  </si>
  <si>
    <t>Gastos Corrientes</t>
  </si>
  <si>
    <t xml:space="preserve">     Cuerpos Colegiados (050)</t>
  </si>
  <si>
    <t>Porcentaje de Distribución Ingresos</t>
  </si>
  <si>
    <t xml:space="preserve">     Libros, Revistas y Periódicos</t>
  </si>
  <si>
    <t xml:space="preserve">     Planificación Estratégica</t>
  </si>
  <si>
    <t xml:space="preserve">     Financiera</t>
  </si>
  <si>
    <t xml:space="preserve">      Financiero</t>
  </si>
  <si>
    <t xml:space="preserve">     Planificación Estratégica (014)</t>
  </si>
  <si>
    <t xml:space="preserve">     Museo Telecomunicaciones</t>
  </si>
  <si>
    <t xml:space="preserve">      Beca Estudios Informática</t>
  </si>
  <si>
    <t xml:space="preserve">      Becas Estudios Idiomas</t>
  </si>
  <si>
    <t xml:space="preserve">      Becas Estudiantes Sobresalientes</t>
  </si>
  <si>
    <t xml:space="preserve">     Otras  Bonificaciones Salario 14</t>
  </si>
  <si>
    <t xml:space="preserve">      Financiera</t>
  </si>
  <si>
    <t xml:space="preserve">      Becas de Perfeccionamiento Profesional Empleados</t>
  </si>
  <si>
    <t xml:space="preserve">     Reconocimiento a empleados Meritorios</t>
  </si>
  <si>
    <t xml:space="preserve">     Seguro de Salud local</t>
  </si>
  <si>
    <t xml:space="preserve">     Seguro Salud Internacional</t>
  </si>
  <si>
    <t xml:space="preserve">     Personal Club Indotel</t>
  </si>
  <si>
    <t xml:space="preserve">     Club Indotel</t>
  </si>
  <si>
    <t xml:space="preserve">     Club del Indotel</t>
  </si>
  <si>
    <t>Compensación por Servicios de Seguridad</t>
  </si>
  <si>
    <t xml:space="preserve">     Finanzas</t>
  </si>
  <si>
    <t xml:space="preserve">    Club Indotel</t>
  </si>
  <si>
    <t xml:space="preserve">    Bono Premiación al desempeño</t>
  </si>
  <si>
    <t xml:space="preserve">     Intereses prestamo local</t>
  </si>
  <si>
    <t xml:space="preserve">    Almacén</t>
  </si>
  <si>
    <t xml:space="preserve">     Servicio de Vigilancia</t>
  </si>
  <si>
    <t>Actividad día de las Secretarias</t>
  </si>
  <si>
    <t>Varios</t>
  </si>
  <si>
    <t>Ingresos Club</t>
  </si>
  <si>
    <t xml:space="preserve">      Indotel</t>
  </si>
  <si>
    <t>Ingresos Centro Cultural</t>
  </si>
  <si>
    <t xml:space="preserve">     Club</t>
  </si>
  <si>
    <t xml:space="preserve">     CCT</t>
  </si>
  <si>
    <t xml:space="preserve">      CCT</t>
  </si>
  <si>
    <t xml:space="preserve">     Financiera (019)</t>
  </si>
  <si>
    <t xml:space="preserve">    Iguala Aire Acondicionado Club</t>
  </si>
  <si>
    <t xml:space="preserve">    Iguala Aire Acondicionado Indotel</t>
  </si>
  <si>
    <t xml:space="preserve">   iguala aire acondicionado CCT</t>
  </si>
  <si>
    <t>Dia de las Madres</t>
  </si>
  <si>
    <t>Internet Sano</t>
  </si>
  <si>
    <t>San Valentin</t>
  </si>
  <si>
    <t>Dia de los Padres</t>
  </si>
  <si>
    <t xml:space="preserve">     Planificación  Estrategica (014)</t>
  </si>
  <si>
    <t xml:space="preserve">     Planificaciòn Estratègica (014)</t>
  </si>
  <si>
    <t xml:space="preserve">     CCT  (020)</t>
  </si>
  <si>
    <t xml:space="preserve">    CLUB  (021)</t>
  </si>
  <si>
    <t>Planta Club</t>
  </si>
  <si>
    <t xml:space="preserve">      Planta CCT</t>
  </si>
  <si>
    <t xml:space="preserve">     CLUB</t>
  </si>
  <si>
    <t xml:space="preserve">      Club</t>
  </si>
  <si>
    <t xml:space="preserve">     Cuota Anual del NANP</t>
  </si>
  <si>
    <t xml:space="preserve">     Admiral Club</t>
  </si>
  <si>
    <t xml:space="preserve">     NAB</t>
  </si>
  <si>
    <t xml:space="preserve">   Vehículos</t>
  </si>
  <si>
    <t xml:space="preserve">TOTAL </t>
  </si>
  <si>
    <t>Planta Museo</t>
  </si>
  <si>
    <t>Cuentas por Pagar Proyecto FDT</t>
  </si>
  <si>
    <t>CUENTAS POR PAGAR AÑOS ANTERIORES</t>
  </si>
  <si>
    <t xml:space="preserve">     Servicio de Internet y TV por cable</t>
  </si>
  <si>
    <t xml:space="preserve">     Otros Productos de papel, cartone imp.</t>
  </si>
  <si>
    <t xml:space="preserve">    Bono Dia de Las Madres</t>
  </si>
  <si>
    <t xml:space="preserve">    Bono Dia de los Padres</t>
  </si>
  <si>
    <t xml:space="preserve">    Bono Dia de las Secretarias</t>
  </si>
  <si>
    <t xml:space="preserve">     Entrenamientos Locales cct</t>
  </si>
  <si>
    <t>Transferencias Corrientes Sector Privado</t>
  </si>
  <si>
    <t xml:space="preserve">    Premios literarios, deportivos y artìstico</t>
  </si>
  <si>
    <t>Servicio de Internet y TV por Cable</t>
  </si>
  <si>
    <t xml:space="preserve">     Internet</t>
  </si>
  <si>
    <t xml:space="preserve">     Telecable</t>
  </si>
  <si>
    <t>Balance Inicial INDOTEL</t>
  </si>
  <si>
    <t>Ingresos Licitación Frecuencias</t>
  </si>
  <si>
    <t>Préstamo</t>
  </si>
  <si>
    <t xml:space="preserve">    Bono Día de los Padres</t>
  </si>
  <si>
    <t xml:space="preserve">    Bono Día de las Secretarias</t>
  </si>
  <si>
    <t xml:space="preserve">     Teléfono y Fax</t>
  </si>
  <si>
    <t xml:space="preserve">     Correos y Telégrafos</t>
  </si>
  <si>
    <t xml:space="preserve">     Lavandería, Limpieza e Higiene</t>
  </si>
  <si>
    <t>Pub. Impresión y Encuadernación</t>
  </si>
  <si>
    <t xml:space="preserve">     Televisión y Radio</t>
  </si>
  <si>
    <t>Viáticos</t>
  </si>
  <si>
    <t>Transporte Almacenaje y Envíos</t>
  </si>
  <si>
    <t xml:space="preserve">     Almacén</t>
  </si>
  <si>
    <t xml:space="preserve">     Seguros Últimos Gastos</t>
  </si>
  <si>
    <t>Conservación, Rep. Menores y Const.</t>
  </si>
  <si>
    <t>Productos de Papel, Cartón e Impresos</t>
  </si>
  <si>
    <t xml:space="preserve">     Productos de Papel y Cartón</t>
  </si>
  <si>
    <t xml:space="preserve">     Libros, Revistas y Cartón</t>
  </si>
  <si>
    <t xml:space="preserve">     Neumáticos y Cámaras de Aire</t>
  </si>
  <si>
    <t>Productos Medicinales y farmacéuticos</t>
  </si>
  <si>
    <t>Productos Varios y Útiles Diversos</t>
  </si>
  <si>
    <t xml:space="preserve">     Útiles de limpieza</t>
  </si>
  <si>
    <t xml:space="preserve">     Productos eléctricos y Afines</t>
  </si>
  <si>
    <t xml:space="preserve">     Instalaciones Líneas Telefónicas</t>
  </si>
  <si>
    <t xml:space="preserve">     Útiles de Cocina y Comedor</t>
  </si>
  <si>
    <t>Centro Cultural de las Telecom.</t>
  </si>
  <si>
    <t>Ingreso Club</t>
  </si>
  <si>
    <t>Ingreso CCT</t>
  </si>
  <si>
    <t>Proyectos FDT</t>
  </si>
  <si>
    <t>Cuenta por Pagar Centro Cultural</t>
  </si>
  <si>
    <t xml:space="preserve">     Planificación</t>
  </si>
  <si>
    <t>Ingreso por Licitación de  Frecuencias</t>
  </si>
  <si>
    <t>Ingreso por Licitación de Frecuencias</t>
  </si>
  <si>
    <t>Cuenta por pagar pend. Reclamación</t>
  </si>
  <si>
    <t>Concepto</t>
  </si>
  <si>
    <t>1ra. versión</t>
  </si>
  <si>
    <t>Actual</t>
  </si>
  <si>
    <t>% Disminución</t>
  </si>
  <si>
    <t xml:space="preserve">Ingresos </t>
  </si>
  <si>
    <t xml:space="preserve">Gastos </t>
  </si>
  <si>
    <t xml:space="preserve">Inversión </t>
  </si>
  <si>
    <t>Dif. Ingresos Menos Gastos</t>
  </si>
  <si>
    <t>Gastos e Inversión</t>
  </si>
  <si>
    <t>Diferencia Ingresos Menos Gastos e Inversión</t>
  </si>
  <si>
    <t>Valor RD$</t>
  </si>
  <si>
    <t xml:space="preserve">    Aportes a Instituciones del Sector Privado</t>
  </si>
  <si>
    <t>|</t>
  </si>
  <si>
    <t xml:space="preserve">      Servicios Corporativos (003)</t>
  </si>
  <si>
    <t xml:space="preserve">      SMGER</t>
  </si>
  <si>
    <t>Aportes a Instituciones del Sector Privado</t>
  </si>
  <si>
    <t xml:space="preserve">     Gerencia Financiera </t>
  </si>
  <si>
    <t xml:space="preserve">   Aportes Gobierno Central 50% CDT</t>
  </si>
  <si>
    <t xml:space="preserve">      Financiera  (019)</t>
  </si>
  <si>
    <t>--</t>
  </si>
  <si>
    <t xml:space="preserve">           Indotel</t>
  </si>
  <si>
    <t xml:space="preserve">           Centro Cultural de las Telco.</t>
  </si>
  <si>
    <t xml:space="preserve">     Ingresos Tienda Suvenils</t>
  </si>
  <si>
    <t xml:space="preserve">     Ingresos area de Cafetería</t>
  </si>
  <si>
    <t xml:space="preserve">      Ingresos Boletería</t>
  </si>
  <si>
    <t xml:space="preserve">     Ingresos Turistas</t>
  </si>
  <si>
    <t xml:space="preserve">     Actividades Culturales</t>
  </si>
  <si>
    <t xml:space="preserve">     Auditorio Arturo Rodríguez</t>
  </si>
  <si>
    <t xml:space="preserve">     Salon Multiusos</t>
  </si>
  <si>
    <t xml:space="preserve">     Salon Clases Mediateca</t>
  </si>
  <si>
    <t xml:space="preserve">     Estudio de televisión</t>
  </si>
  <si>
    <t xml:space="preserve">     Estudio de Televisión + Edición</t>
  </si>
  <si>
    <t xml:space="preserve">     Estudio de Radio + Edición</t>
  </si>
  <si>
    <t>Disponibilidad Inicial al 31/12/2012</t>
  </si>
  <si>
    <t xml:space="preserve">     Fumigación</t>
  </si>
  <si>
    <t xml:space="preserve">     Encuenta ONE</t>
  </si>
  <si>
    <t xml:space="preserve">     Aporte Esposas PN</t>
  </si>
  <si>
    <t xml:space="preserve">     Aporte Esposas Ejercito Nacional</t>
  </si>
  <si>
    <t xml:space="preserve">     Aporte Esposas Marina de Guerra</t>
  </si>
  <si>
    <t xml:space="preserve">    Otros aportes corrientes</t>
  </si>
  <si>
    <t>Cuenta por cobrar DE 2005 - 2012</t>
  </si>
  <si>
    <t xml:space="preserve">     Aporte Sinfonica Nacional</t>
  </si>
  <si>
    <t>Alimentos y productos agroforestales</t>
  </si>
  <si>
    <t xml:space="preserve">   Adq. E Instalación s Inhibidores de Telefonía Móvil </t>
  </si>
  <si>
    <t xml:space="preserve">   Aportes a instituciones del Sector Privado</t>
  </si>
  <si>
    <t xml:space="preserve">    Reconocimiento a empleados</t>
  </si>
  <si>
    <t xml:space="preserve">    Bono Día de Las Madres</t>
  </si>
  <si>
    <t xml:space="preserve">     Club Empleados Indotel</t>
  </si>
  <si>
    <t>Cuentas por Pagar FDT plan Bianual 2007-2009 y 2009 - 2011</t>
  </si>
  <si>
    <t>Presupuestado - Ejecutado</t>
  </si>
  <si>
    <t>Inversión Activos</t>
  </si>
  <si>
    <t>Amortización Deuda</t>
  </si>
  <si>
    <t>Cuentas por pagar</t>
  </si>
  <si>
    <t xml:space="preserve">Diferencia Ingresos Corrientes menos Gastos Corrientes e Inversión </t>
  </si>
  <si>
    <t>Amortización Préstamo del Banco Mundial</t>
  </si>
  <si>
    <t>Prestaciones Laborales</t>
  </si>
  <si>
    <t xml:space="preserve">     Consejo Directivo (001) comunicaciones</t>
  </si>
  <si>
    <t xml:space="preserve">     Protección</t>
  </si>
  <si>
    <t xml:space="preserve">     Concesiones y Licencias (010) tecnica</t>
  </si>
  <si>
    <t>Campamento de Verano</t>
  </si>
  <si>
    <t xml:space="preserve">      Baterias</t>
  </si>
  <si>
    <t xml:space="preserve">   Renovación de marbetes</t>
  </si>
  <si>
    <t xml:space="preserve">   Revistas</t>
  </si>
  <si>
    <t xml:space="preserve">   Impuestos</t>
  </si>
  <si>
    <t xml:space="preserve">Alogenos, multilock </t>
  </si>
  <si>
    <t xml:space="preserve">   Taladro, llave ajustable, herramientas</t>
  </si>
  <si>
    <t xml:space="preserve">  Prestamo Reservas</t>
  </si>
  <si>
    <t xml:space="preserve">     Aporte Despacho Primera Dama</t>
  </si>
  <si>
    <t xml:space="preserve">      Ampimetro</t>
  </si>
  <si>
    <t xml:space="preserve">      Servicios  Corporativos (003) Folder partitium</t>
  </si>
  <si>
    <t xml:space="preserve">        Cajas de archivo</t>
  </si>
  <si>
    <t xml:space="preserve">       Compra legos dia niñas</t>
  </si>
  <si>
    <t>Presupuestado 2013 - 2014</t>
  </si>
  <si>
    <t>B</t>
  </si>
  <si>
    <t>C</t>
  </si>
  <si>
    <t>Variación</t>
  </si>
  <si>
    <t>A - C</t>
  </si>
  <si>
    <t>A - B</t>
  </si>
  <si>
    <t>Ingresos por venta inmueble 27 de febrero</t>
  </si>
  <si>
    <t>Ingresos por venta Terrenos 27</t>
  </si>
  <si>
    <t xml:space="preserve">%        Variación  </t>
  </si>
  <si>
    <t xml:space="preserve">   Edificacio INDOTEL</t>
  </si>
  <si>
    <t>Cuenta por pagar FDT</t>
  </si>
  <si>
    <t>Proyectos Plan Bienal 2014-2015</t>
  </si>
  <si>
    <t>Incluyendo FDT</t>
  </si>
  <si>
    <t>Sin ingresos extraordinarios</t>
  </si>
  <si>
    <t>Becas Entrenamientos y Capacitación</t>
  </si>
  <si>
    <t>Horas Extras</t>
  </si>
  <si>
    <t>Compensación uso Vehículos</t>
  </si>
  <si>
    <t>Regalía Pascual</t>
  </si>
  <si>
    <t>Bono cumplimiento objetivos</t>
  </si>
  <si>
    <t>Otras  Bonificaciones</t>
  </si>
  <si>
    <t>Bono Día de Las Madres</t>
  </si>
  <si>
    <t>Bono Día de las Secretarias</t>
  </si>
  <si>
    <t>Seguro de Vida</t>
  </si>
  <si>
    <t>Seguro de Salud local</t>
  </si>
  <si>
    <t>Seguro Salud Internacional</t>
  </si>
  <si>
    <t>Subsidio Escolares y Universitario</t>
  </si>
  <si>
    <t>Subsidio Alimenticio Serv. Grales.</t>
  </si>
  <si>
    <t>% gastos personal / ingresos  corrientes</t>
  </si>
  <si>
    <t>Gastos del personal</t>
  </si>
  <si>
    <t>Remuneración por sistema de iguala</t>
  </si>
  <si>
    <t>Ingresos corrientes</t>
  </si>
  <si>
    <t>m</t>
  </si>
  <si>
    <t>Total Salida Efectivo</t>
  </si>
  <si>
    <t>REMUNERACIONES Y CONTRIBUCIONES</t>
  </si>
  <si>
    <t>Sueldo fijos</t>
  </si>
  <si>
    <t>Remuneraciones</t>
  </si>
  <si>
    <t>CONTRATACION DE SERVICIOS</t>
  </si>
  <si>
    <t>Impuestos Derechos y Tasas</t>
  </si>
  <si>
    <t>Fumigación, Lavandería e Higiene</t>
  </si>
  <si>
    <t xml:space="preserve"> Honorarios por servicios especiales</t>
  </si>
  <si>
    <t>Servicios Tecnicos y Profesionales</t>
  </si>
  <si>
    <t>Alimentos y Productos Agroforestales</t>
  </si>
  <si>
    <t>Productos metalicos</t>
  </si>
  <si>
    <t>TRANSFERENCIAS CORRIENTES</t>
  </si>
  <si>
    <t>Revista Mercado</t>
  </si>
  <si>
    <t>Editora Judicial, SRL</t>
  </si>
  <si>
    <t>Periodico El Caribe</t>
  </si>
  <si>
    <t>Editora Hoy</t>
  </si>
  <si>
    <t>Nuevo Diario</t>
  </si>
  <si>
    <t>La Información</t>
  </si>
  <si>
    <t>Publicaciones Ahora</t>
  </si>
  <si>
    <t xml:space="preserve">     Multiservicios Hermes</t>
  </si>
  <si>
    <t xml:space="preserve">     Parqueo Filomena</t>
  </si>
  <si>
    <t xml:space="preserve">      Compensación Alimentación</t>
  </si>
  <si>
    <t>Pasantias</t>
  </si>
  <si>
    <t>Compensaciones</t>
  </si>
  <si>
    <t>Remuneraciones al Personal Fijo</t>
  </si>
  <si>
    <t xml:space="preserve">     Telefax y Correos</t>
  </si>
  <si>
    <t xml:space="preserve">     Telefono</t>
  </si>
  <si>
    <t xml:space="preserve">      Mensajeros Externos</t>
  </si>
  <si>
    <t xml:space="preserve">     Servicios de correo</t>
  </si>
  <si>
    <t xml:space="preserve">    Alquiler de equipos de comunicación</t>
  </si>
  <si>
    <t>Alquiler equipo de transporte</t>
  </si>
  <si>
    <t xml:space="preserve">    Obras menores en edificaciones</t>
  </si>
  <si>
    <t xml:space="preserve">      Mantenimiento y Rep de Vehiculos 5,000 KM</t>
  </si>
  <si>
    <t>Fumigación, Lavandería, limpieza de oficina</t>
  </si>
  <si>
    <t xml:space="preserve">     Lavandería</t>
  </si>
  <si>
    <t xml:space="preserve">     Limpieza  Higiene </t>
  </si>
  <si>
    <t>Tasas</t>
  </si>
  <si>
    <t xml:space="preserve">  Impuestos, Derechos y Tasas</t>
  </si>
  <si>
    <t>Impuestos Bono vacacional</t>
  </si>
  <si>
    <t xml:space="preserve">     Utiles de Escritorios, Oficina y Enseres e informatica</t>
  </si>
  <si>
    <t xml:space="preserve">     Gasolina</t>
  </si>
  <si>
    <t>Gasoil</t>
  </si>
  <si>
    <t>Aceites y Grasas</t>
  </si>
  <si>
    <t>Finjus</t>
  </si>
  <si>
    <t xml:space="preserve">      Utiles Deportivos</t>
  </si>
  <si>
    <t xml:space="preserve">     Evaluación de Desempeño</t>
  </si>
  <si>
    <t xml:space="preserve">     Utiles comité seguridad y salud en el trabajo</t>
  </si>
  <si>
    <t xml:space="preserve">    Placas reconocimiento al merito</t>
  </si>
  <si>
    <t xml:space="preserve">      Carpetas de alta duración Archivo</t>
  </si>
  <si>
    <t xml:space="preserve">     Alógenos multilock y laminado cristales</t>
  </si>
  <si>
    <t xml:space="preserve">      Materiales electricos SG</t>
  </si>
  <si>
    <t>Smger</t>
  </si>
  <si>
    <t xml:space="preserve">     Imformes Cullem</t>
  </si>
  <si>
    <t xml:space="preserve">     Regulation and Evolution of the Global Telecoms</t>
  </si>
  <si>
    <t>Diagramación e impresión de la agenda digital</t>
  </si>
  <si>
    <t>Contribución capital semilla Apps.do</t>
  </si>
  <si>
    <t>Viaticos y Dietas  participación reuniones Internacionales</t>
  </si>
  <si>
    <t xml:space="preserve">     Pasaje participación Eventos/reuniones Internacionales</t>
  </si>
  <si>
    <t xml:space="preserve">     Bono Escolar (Subsidio Escolares y Universitario)</t>
  </si>
  <si>
    <t xml:space="preserve">     Compensación Alimenticia</t>
  </si>
  <si>
    <t>Honorarios Cuerpos Colegiados</t>
  </si>
  <si>
    <t xml:space="preserve"> Honorarios Profesionales y Técnicos </t>
  </si>
  <si>
    <t xml:space="preserve">     Obras menores en edificaciones</t>
  </si>
  <si>
    <t xml:space="preserve">     Mantenimiento y Reparación de obras civiles</t>
  </si>
  <si>
    <t>Arrendamiento Inmuebles</t>
  </si>
  <si>
    <t>Renovación Autorizaciones</t>
  </si>
  <si>
    <t>Venta de libros</t>
  </si>
  <si>
    <t>Multas y recargos</t>
  </si>
  <si>
    <t>.</t>
  </si>
  <si>
    <t>Aporte Presupuestario del Gobierno Central</t>
  </si>
  <si>
    <t>Aporte presupuestario Gobierno Central</t>
  </si>
  <si>
    <t>Otros Gastos Operativos</t>
  </si>
  <si>
    <t xml:space="preserve">     Otros Seguros</t>
  </si>
  <si>
    <t xml:space="preserve">     Articulos de Plásticos</t>
  </si>
  <si>
    <t>INVERSION ACTIVOS</t>
  </si>
  <si>
    <t>Diferencia Ingresos Corrientes menos Gastos e Inversiones</t>
  </si>
  <si>
    <t>Intereses Certificados Financieros</t>
  </si>
  <si>
    <t>Sub-Total Ingresos Corrientes</t>
  </si>
  <si>
    <t>Sub-Total Otros Ingresos</t>
  </si>
  <si>
    <t>Productos Quimicos y Conexos</t>
  </si>
  <si>
    <t>Productos Quimicos de uso personal</t>
  </si>
  <si>
    <t>abonos y fertilizantes</t>
  </si>
  <si>
    <t>Pinturas, lacas, varnices, diluyentes y absorbentes</t>
  </si>
  <si>
    <t xml:space="preserve">   Transferencia corrientes Instituciones Descentralizadas</t>
  </si>
  <si>
    <t>Intereses Cuenta Corriente</t>
  </si>
  <si>
    <t>Ingresos Varios (Arrendamientos, ventas libros, )</t>
  </si>
  <si>
    <t xml:space="preserve">     Prendas de Vestir (Uniformes)</t>
  </si>
  <si>
    <t xml:space="preserve">   Salario Personal sin aumento</t>
  </si>
  <si>
    <t xml:space="preserve">      Consejo Directivo (001) Contratos</t>
  </si>
  <si>
    <t xml:space="preserve">    Consultor Revisión Contratos</t>
  </si>
  <si>
    <t>CCT</t>
  </si>
  <si>
    <t>Club</t>
  </si>
  <si>
    <t>Estaciones</t>
  </si>
  <si>
    <t>Impresión Brochures Proyectos FDT</t>
  </si>
  <si>
    <t>Impresión Follletos Orientación al Usuario</t>
  </si>
  <si>
    <t>Impresión Volantes Orientación al Usuario</t>
  </si>
  <si>
    <t>Impresión Talonarios Material Gastable</t>
  </si>
  <si>
    <t xml:space="preserve">     Publicidad Radio y Tel. Comunicaciones</t>
  </si>
  <si>
    <t>Asesoria Legal del Consejo</t>
  </si>
  <si>
    <t xml:space="preserve">     Uniformes Servicios Generales Mayordomia</t>
  </si>
  <si>
    <t xml:space="preserve">     Uniformes personal mantenmiento</t>
  </si>
  <si>
    <t xml:space="preserve"> CD, boligrafos, Libretas promocionales CCT</t>
  </si>
  <si>
    <t>3 Reflectores de Luz CCT</t>
  </si>
  <si>
    <t xml:space="preserve">     CCT </t>
  </si>
  <si>
    <t xml:space="preserve">     Revista del Instituto de Auditores</t>
  </si>
  <si>
    <t xml:space="preserve"> 5 libros de auditoria</t>
  </si>
  <si>
    <t xml:space="preserve">     Campaña Difusión Agenda Digital</t>
  </si>
  <si>
    <t>Conferencia PYCaribbean 2016</t>
  </si>
  <si>
    <t xml:space="preserve">   Adquisición Informe de indicadores de TV por suscripción para America Latina</t>
  </si>
  <si>
    <t>Reporte mundial de Indicadores UIT</t>
  </si>
  <si>
    <t>Compra buzón denuncias Comité Etica</t>
  </si>
  <si>
    <t xml:space="preserve">      Baterias Móviles</t>
  </si>
  <si>
    <t xml:space="preserve">     SMGER (015) obreros estaciones 4</t>
  </si>
  <si>
    <t xml:space="preserve">   dominios para instalar certificado (TIC)</t>
  </si>
  <si>
    <t xml:space="preserve">    Memoria para computadora</t>
  </si>
  <si>
    <t xml:space="preserve">     UIT integración universidades</t>
  </si>
  <si>
    <t xml:space="preserve">     Gafetes personal protocolo</t>
  </si>
  <si>
    <t xml:space="preserve">    Impuetos propiedades donación</t>
  </si>
  <si>
    <t>Impuestos bono 14</t>
  </si>
  <si>
    <t xml:space="preserve">     Alquiler equipos de oficinas y muebles</t>
  </si>
  <si>
    <t xml:space="preserve">     Conservacion y rep. maq. y equipo de oficina </t>
  </si>
  <si>
    <t xml:space="preserve">     Mant. y reparación de equipo de computación </t>
  </si>
  <si>
    <t xml:space="preserve">     Mant. y reparación de equipo educacional </t>
  </si>
  <si>
    <t xml:space="preserve">     Mant. Y reparación de equipos</t>
  </si>
  <si>
    <t xml:space="preserve">     Mantenimiento y Reparación de equipo comunicación</t>
  </si>
  <si>
    <t xml:space="preserve">     Conservacion y rep.  obras</t>
  </si>
  <si>
    <t xml:space="preserve">     Servicios especiales de mantenimiento y reparación </t>
  </si>
  <si>
    <t xml:space="preserve">     Limpieza, desmalezamiento de tierras</t>
  </si>
  <si>
    <t xml:space="preserve">     Mant. Y reparación de obras civiles en instalación</t>
  </si>
  <si>
    <t xml:space="preserve">     Servicios de Informática y sistema </t>
  </si>
  <si>
    <t xml:space="preserve">     Madera, Corchos y sus manufacturas</t>
  </si>
  <si>
    <t xml:space="preserve">Accesorios de metal </t>
  </si>
  <si>
    <t>Pinturas, barnices y otros</t>
  </si>
  <si>
    <t xml:space="preserve">Productos Químicos y Conexos </t>
  </si>
  <si>
    <t>Productos quimicos de uso personal</t>
  </si>
  <si>
    <t xml:space="preserve">     Productos y útiles varios no identificados</t>
  </si>
  <si>
    <t xml:space="preserve">     Otros repuestos y accesorios menores</t>
  </si>
  <si>
    <t xml:space="preserve">     Útiles de Escritorios, Oficina e Informática</t>
  </si>
  <si>
    <t xml:space="preserve">      Utiles Destinados a Actividades Deportivas y Recreativas</t>
  </si>
  <si>
    <t>Transferencias Corrientes para Investigación</t>
  </si>
  <si>
    <t xml:space="preserve">     Alquiler de maquinarias y equipos de transporte</t>
  </si>
  <si>
    <t>Articulos Plasticos</t>
  </si>
  <si>
    <t>Balances Certificados Financieros al 31/12/2015</t>
  </si>
  <si>
    <t>Otros Servicios Prof. Y Tecnicos</t>
  </si>
  <si>
    <t>Productos de Cemento</t>
  </si>
  <si>
    <t xml:space="preserve">      Informática  (018) Cableado estructurado</t>
  </si>
  <si>
    <t xml:space="preserve">   Kit Samsung Smart Things Home Monitoring</t>
  </si>
  <si>
    <t xml:space="preserve">     Adquisición de sensor ringtone</t>
  </si>
  <si>
    <t>Diferencia Disponibilidad menos Gastos Corrientes e Inversión y FDT (incluye Certificados Financieros)</t>
  </si>
  <si>
    <t>Diferencia Disponibilidad menos Gastos Corrientes e Inversión (incluye los Certificados Financieros, no incluye los gastos FDT)</t>
  </si>
  <si>
    <t>Ejecutado 2015</t>
  </si>
  <si>
    <t>Presupuestado 2015</t>
  </si>
  <si>
    <t>Presupuestado 2016</t>
  </si>
  <si>
    <t>Sin incluir FDT</t>
  </si>
  <si>
    <t xml:space="preserve">     Contribución al Seguro Salud</t>
  </si>
  <si>
    <t xml:space="preserve">     Contribución al Seguro de Pensiones</t>
  </si>
  <si>
    <t xml:space="preserve">     Contribución al Seguro de Riesgos Laborales</t>
  </si>
  <si>
    <t>Certificados Financieros</t>
  </si>
  <si>
    <t>Total Disponibilidad</t>
  </si>
  <si>
    <t>Diferencia Disponibilidad menos Gastos Corrientes e Inversión (no incluye los Certificados Financieros)</t>
  </si>
  <si>
    <t>Diferencia Ingresos menos Gastos Corrientes e Inversión (no incluye los Certificados Financieros ni los gastos FDT)</t>
  </si>
  <si>
    <t>Sin Proyectos del FDT</t>
  </si>
  <si>
    <t>Diferencia Ingresos Corrientes y Certificados Financieros menos Gastos Corrientes e Inversión incluyendo FDT</t>
  </si>
  <si>
    <t>Piedra Arcilla y Arena</t>
  </si>
  <si>
    <t>Conectividad</t>
  </si>
  <si>
    <t>DESDE 1 ENERO AL 31 DICIEMBRE 2018</t>
  </si>
  <si>
    <t>Dietas y Gastos de Representación</t>
  </si>
  <si>
    <t>Gastos de Representación en el País</t>
  </si>
  <si>
    <t xml:space="preserve">     Consejo Directivo (001) </t>
  </si>
  <si>
    <t xml:space="preserve">     Publicidad y Propaganda</t>
  </si>
  <si>
    <t>Contratos de publicidad</t>
  </si>
  <si>
    <t>Servicios Adm. Y Serv. De Telecomunicaciones</t>
  </si>
  <si>
    <t xml:space="preserve">     4 Auxiliares</t>
  </si>
  <si>
    <t xml:space="preserve">     2 choferes</t>
  </si>
  <si>
    <t xml:space="preserve">     1 Analista de Infraestructura TI</t>
  </si>
  <si>
    <t xml:space="preserve">     1 Analista Normalización y Seguimmiento</t>
  </si>
  <si>
    <t xml:space="preserve">     1 Secretaria Eventos</t>
  </si>
  <si>
    <t xml:space="preserve">     1 Asistente Eventos</t>
  </si>
  <si>
    <t xml:space="preserve">     1 Coordinador Protocolo</t>
  </si>
  <si>
    <t xml:space="preserve">     4 Delegado Protocolo</t>
  </si>
  <si>
    <t xml:space="preserve">     1 community Manager</t>
  </si>
  <si>
    <t xml:space="preserve">     1 Diseñador Web</t>
  </si>
  <si>
    <t xml:space="preserve">     1 Desarrollador WEB</t>
  </si>
  <si>
    <t>Publicaciones imprevistas en Periodicos, Revistas, Televisión, Radio y Portales Digitales</t>
  </si>
  <si>
    <t>Publicaciones Pagadas en Periodicos y Revistas</t>
  </si>
  <si>
    <t>Resolución, Reglamento Listado y Arte Batalla 19 Marzo</t>
  </si>
  <si>
    <t>Aviso y Arte Día de las Telecomunicaciones</t>
  </si>
  <si>
    <t xml:space="preserve">     Alquiler Planta Eléctrica</t>
  </si>
  <si>
    <t xml:space="preserve">     Templo El Calvario</t>
  </si>
  <si>
    <t>Compra obsequios celebración de los Cumpleaños</t>
  </si>
  <si>
    <t>Dia de la Mujer</t>
  </si>
  <si>
    <t>Reconocimiento empleados por antigüedad</t>
  </si>
  <si>
    <t xml:space="preserve">     almacen V centenario</t>
  </si>
  <si>
    <t xml:space="preserve">     Uniformes Transportación</t>
  </si>
  <si>
    <t xml:space="preserve">      Uniformes Eventos</t>
  </si>
  <si>
    <t xml:space="preserve">     Uniformes Protocolo</t>
  </si>
  <si>
    <t xml:space="preserve">     Peaje Eventos</t>
  </si>
  <si>
    <t xml:space="preserve">       Ayudas y donaciones programadas a hogares</t>
  </si>
  <si>
    <t xml:space="preserve">       Ayudas y donaciones ocasionales a hogares</t>
  </si>
  <si>
    <t xml:space="preserve">      Alimentos para humanos CCT</t>
  </si>
  <si>
    <t xml:space="preserve">     Alimentos para humanos Indotel</t>
  </si>
  <si>
    <t xml:space="preserve">     Servicios de Capacitacion</t>
  </si>
  <si>
    <t xml:space="preserve">     Servicios de Contabilidad y Auditoria</t>
  </si>
  <si>
    <t xml:space="preserve">     Servicios Jurídicos</t>
  </si>
  <si>
    <t xml:space="preserve">    Consultoria proyecto Investigación</t>
  </si>
  <si>
    <t xml:space="preserve">     Encuestas / Censo</t>
  </si>
  <si>
    <t>Lanzamiento Carta Compromiso al Ciudadano (Calidad)</t>
  </si>
  <si>
    <t xml:space="preserve">     Refrigerio Implementación Modelo Caf</t>
  </si>
  <si>
    <t xml:space="preserve">     Certificación ISO</t>
  </si>
  <si>
    <t xml:space="preserve">     Norma Responsabilidad Social</t>
  </si>
  <si>
    <t>2 Trituradora de Papel Planificación</t>
  </si>
  <si>
    <t>14 Computadora Planificación</t>
  </si>
  <si>
    <t>Programa Informatico ISO TOOLS Depto Calidad</t>
  </si>
  <si>
    <t xml:space="preserve">     Deducible Choque</t>
  </si>
  <si>
    <t>3 Sillas secretariales Logistica</t>
  </si>
  <si>
    <t>1 Sillon Ejecutivo Logistica</t>
  </si>
  <si>
    <t>1 Maquina sumadora</t>
  </si>
  <si>
    <t>3 Laptop Protección al usuario</t>
  </si>
  <si>
    <t>1 Impresora Protección al Usuario</t>
  </si>
  <si>
    <t xml:space="preserve">     5 memory stick 8 GB</t>
  </si>
  <si>
    <t>Impresión Volantes Protección al Usuario</t>
  </si>
  <si>
    <t>Impresión de folletos Protección al Usuario</t>
  </si>
  <si>
    <t>3 computadoras Auditoria</t>
  </si>
  <si>
    <t xml:space="preserve">    2 Consultor para proyecto de revisión de la ley general telco</t>
  </si>
  <si>
    <t xml:space="preserve">      1 Consultoria Proceso Fijación de Cargos</t>
  </si>
  <si>
    <t>1 Silla giratoria Ejecutiva Regulación</t>
  </si>
  <si>
    <t>3 Sillas secretariales Regulación</t>
  </si>
  <si>
    <t>1 Trituradora de Papel Regulación</t>
  </si>
  <si>
    <t>Alquiler minibuses para 20 pasajeros cobertura inauguración CDSM</t>
  </si>
  <si>
    <t>Alquiler minibuses para 400 pasajeros cobertura Misa Catedral</t>
  </si>
  <si>
    <t>Viatico Eventos</t>
  </si>
  <si>
    <t>Viatico Prensa</t>
  </si>
  <si>
    <t>Relaciones Públicas</t>
  </si>
  <si>
    <t>1 Impresora multifuncional comunicaciones</t>
  </si>
  <si>
    <t>Decubre Barahona</t>
  </si>
  <si>
    <t>Torneo de Golf INDOTEL</t>
  </si>
  <si>
    <t>Aguinaldo Navideño</t>
  </si>
  <si>
    <t>Viaticos Mercadeo</t>
  </si>
  <si>
    <t>6 sillas personal protocolo</t>
  </si>
  <si>
    <t>2 sillones ejecutivos auditoria</t>
  </si>
  <si>
    <t>1 Trituradora de Papel protocolo</t>
  </si>
  <si>
    <t>2 podium en acrilico</t>
  </si>
  <si>
    <t>Habladores de metal Procoloco</t>
  </si>
  <si>
    <t>3 Mallete Protocolo</t>
  </si>
  <si>
    <t>8 Astas bandera  Protocolo</t>
  </si>
  <si>
    <t xml:space="preserve">     Distintivos con el logo</t>
  </si>
  <si>
    <t>1 Armario Procolo</t>
  </si>
  <si>
    <t>25 paraguas INDOTEL Procolo</t>
  </si>
  <si>
    <t>Viaticos Protocolo</t>
  </si>
  <si>
    <t>2 Armarios eventos</t>
  </si>
  <si>
    <t>5 Escritorios eventos</t>
  </si>
  <si>
    <t>5 Archivos para escritorios eventos</t>
  </si>
  <si>
    <t>5 arreglos flores preservadas Presidencia (eventos)</t>
  </si>
  <si>
    <t>4 Arreglos flores preservadas DE )eventos)</t>
  </si>
  <si>
    <t>4 Arreglos flores preservadas institucionales (eventos)</t>
  </si>
  <si>
    <t xml:space="preserve"> 2 Manteles imperial azul marino </t>
  </si>
  <si>
    <t>matas ornamentales gri gri</t>
  </si>
  <si>
    <t>Maseteros altos (eventos)</t>
  </si>
  <si>
    <t>6 mesas tipo Bufette eventos</t>
  </si>
  <si>
    <t>100 sillas acrilicas</t>
  </si>
  <si>
    <t>1 plancha de vapor eventos</t>
  </si>
  <si>
    <t>6 manteles tipo tubos eventos</t>
  </si>
  <si>
    <t>1 Manteles tipo tubo Dirección Ejecutiva</t>
  </si>
  <si>
    <t>4 manteles tipo tubo eventos</t>
  </si>
  <si>
    <t>10 sillas salon de reuniones eventos</t>
  </si>
  <si>
    <t>1 credenza salon eventos</t>
  </si>
  <si>
    <t>1 televisor</t>
  </si>
  <si>
    <t>1 neverita sin ruedas eventos</t>
  </si>
  <si>
    <t>1 neverita con ruedas evento</t>
  </si>
  <si>
    <t>1 camara profesional eventos</t>
  </si>
  <si>
    <t>1 archivo 4 gavetas eventos</t>
  </si>
  <si>
    <t>1 mesa impresora tipo armario eventos</t>
  </si>
  <si>
    <t>1 proyector salon reuniones eventos</t>
  </si>
  <si>
    <t>1 pantalla para el proyector</t>
  </si>
  <si>
    <t>3 sillas para visitantes</t>
  </si>
  <si>
    <t>1 mesa ovalada para salon de reuniones</t>
  </si>
  <si>
    <t>Proyecto TV Digital</t>
  </si>
  <si>
    <t>viaticos ing mobiles</t>
  </si>
  <si>
    <t>viaticos con ing TCI</t>
  </si>
  <si>
    <t>viaticos monitoreo MUST CARRIY</t>
  </si>
  <si>
    <t>1 Proyector TV Gerencia FDT</t>
  </si>
  <si>
    <t>Equipos</t>
  </si>
  <si>
    <t>Programa Inclusión Digital</t>
  </si>
  <si>
    <t>Simposio Mundial sobre Capacitación en TIC 2018 (Internacionales)</t>
  </si>
  <si>
    <t>Reunión LACNIC 30 (Internacionales)</t>
  </si>
  <si>
    <t>Foro Gobernanza de Internet del Cap. ISOC-RD</t>
  </si>
  <si>
    <t>Talleres CEABAD</t>
  </si>
  <si>
    <t>Seminario Taller A4A1-RD</t>
  </si>
  <si>
    <t>4 computadoras (internacionales)</t>
  </si>
  <si>
    <t>1 Impresora (Internacionales)</t>
  </si>
  <si>
    <t xml:space="preserve">     1 Coordinador legal notmalización</t>
  </si>
  <si>
    <t xml:space="preserve">     1 Ingeniero Técnico normalizacion</t>
  </si>
  <si>
    <t>10 vehículos servicios generales</t>
  </si>
  <si>
    <t>Impuestos Bono Desempeño</t>
  </si>
  <si>
    <t xml:space="preserve">      Informes Cullem Benchmarks</t>
  </si>
  <si>
    <t xml:space="preserve">     Alquiler equipos de Cómputos</t>
  </si>
  <si>
    <t>Alquiler equipos de oficinas y muebles</t>
  </si>
  <si>
    <t>1 Laptop Operaciones y Mantenimiento</t>
  </si>
  <si>
    <t xml:space="preserve">          Calibración 2 analizadores de espectro</t>
  </si>
  <si>
    <t>viatico operaciones y mant</t>
  </si>
  <si>
    <t>Servicio de Conservacion, Rep. Menores y Const.</t>
  </si>
  <si>
    <t>Contratación de Obras Menores</t>
  </si>
  <si>
    <t>Mantenimiento y Reparación de Maquinarias y Equipos</t>
  </si>
  <si>
    <t xml:space="preserve">    Servicios especiales de mantenimiento y reparación</t>
  </si>
  <si>
    <t xml:space="preserve">    Mantenimiento y Reparación de obras civiles</t>
  </si>
  <si>
    <t xml:space="preserve">          Mantenimiento y pintura torres de comunicación Estaciones</t>
  </si>
  <si>
    <t>Mantenimiento y Reparación Equipo de Transporte</t>
  </si>
  <si>
    <t xml:space="preserve">      Refrigerio Presidencia</t>
  </si>
  <si>
    <t xml:space="preserve">      2 Suscripción Revista de Auditores y libros</t>
  </si>
  <si>
    <t xml:space="preserve">     Útiles destinados a Actividades Deportivas</t>
  </si>
  <si>
    <t>Mobiliario Nuevo Edificio</t>
  </si>
  <si>
    <t>Adecuación Nuevo Edificio</t>
  </si>
  <si>
    <t xml:space="preserve">  Mantenimiento y Reparación de Muebles y equipo de oficina </t>
  </si>
  <si>
    <t xml:space="preserve">  Mant. y reparación de equipo de computación </t>
  </si>
  <si>
    <t xml:space="preserve">  Mant. y reparación de equipo educacional </t>
  </si>
  <si>
    <t xml:space="preserve">  Mant y Reparación equipos Sanitarios y de Laboratorios</t>
  </si>
  <si>
    <t xml:space="preserve">  Mant. Y reparación de equipos Comunicación</t>
  </si>
  <si>
    <t xml:space="preserve">          Mantenimiento de ascensores y Montacarga CCT</t>
  </si>
  <si>
    <t xml:space="preserve">          Mantenimiento planta CCT</t>
  </si>
  <si>
    <t xml:space="preserve">          Mantenimientos CCT planta</t>
  </si>
  <si>
    <t xml:space="preserve">          Previsión avería Planta Eléctrica CCT</t>
  </si>
  <si>
    <t xml:space="preserve">          Previsión avería equipos varios CCT</t>
  </si>
  <si>
    <t xml:space="preserve">          Mantenimiento y reparación equipos fotograficos</t>
  </si>
  <si>
    <t xml:space="preserve">          Mantenimiento correctivo generadores electricos estaciones, estructuras etc</t>
  </si>
  <si>
    <t xml:space="preserve">          Evaluación de los sistema de puesta a tierra 8 estaciones</t>
  </si>
  <si>
    <t xml:space="preserve">         Mantenimiento preventivo motores diesel estacionas</t>
  </si>
  <si>
    <t xml:space="preserve">          Mantenimiento plomeria y cerrajeria</t>
  </si>
  <si>
    <t xml:space="preserve">          Mantenimiento TCI</t>
  </si>
  <si>
    <t xml:space="preserve">          Calibración equipo Narda SRM</t>
  </si>
  <si>
    <t xml:space="preserve">     Rep. De vehículos Tren delantero</t>
  </si>
  <si>
    <t xml:space="preserve">      Desabolladura, pintura y cambio cristales</t>
  </si>
  <si>
    <t>Redes WI FI de Acceso en Lugares Públicos</t>
  </si>
  <si>
    <t>Proyecto Redes WIFi sostenibilidad</t>
  </si>
  <si>
    <t>Centros Tecnológicos del INDOTEL CTI</t>
  </si>
  <si>
    <t>Red Nacional de Fibra Optica</t>
  </si>
  <si>
    <t>Pago 20% avance</t>
  </si>
  <si>
    <t>Pago monto restante</t>
  </si>
  <si>
    <t>Pagos equipos</t>
  </si>
  <si>
    <t>Fondo para la Excelencia Académica</t>
  </si>
  <si>
    <t>Pago matricula estudiantes  cuatrimestre enero-abril</t>
  </si>
  <si>
    <t>Pago matricula estudiantes  cuatrimestre mayo-agost</t>
  </si>
  <si>
    <t>Pago matricula estudiantes  cuatrimestre sept.-dic.</t>
  </si>
  <si>
    <t>Observatorio TIC</t>
  </si>
  <si>
    <t>Pago personal</t>
  </si>
  <si>
    <t>Adecuaciones físicas</t>
  </si>
  <si>
    <t>Desarrollo del Portal</t>
  </si>
  <si>
    <t>Hackthon Oriendato a Sectores Prioritarios</t>
  </si>
  <si>
    <t>Hackathon Sector No. 1</t>
  </si>
  <si>
    <t>Hackathon Sector No. 2</t>
  </si>
  <si>
    <t>Desarrollo App informativo</t>
  </si>
  <si>
    <t>Lanzamiento APP</t>
  </si>
  <si>
    <t>Compromiso Ciudadania</t>
  </si>
  <si>
    <t>Equipos Informaticos varios</t>
  </si>
  <si>
    <t>Otros gastos (viaticos)</t>
  </si>
  <si>
    <t>Capacitación en la Feria del Libro</t>
  </si>
  <si>
    <t>Capacitación en Feria Regional No. 1</t>
  </si>
  <si>
    <t>Capacitación en Feria Regional No. 2</t>
  </si>
  <si>
    <t>Mobiliario Edificio INDOTEL</t>
  </si>
  <si>
    <t>Jardineria Club INDOTEL</t>
  </si>
  <si>
    <t>Readecuación Instalaciones Deportivas Club Indotel</t>
  </si>
  <si>
    <t>Readecuación Baños Club INDOTEL</t>
  </si>
  <si>
    <t>Muebles de Alojamiento</t>
  </si>
  <si>
    <t>Mobiliario Club Recreativo del INDOTEL</t>
  </si>
  <si>
    <t>Readecuación Unidad de Telemática del CCT</t>
  </si>
  <si>
    <t>Readecuación Sótano CCT</t>
  </si>
  <si>
    <t xml:space="preserve">      Diseño e impresión acrilicos cédula informativa salas expositivas</t>
  </si>
  <si>
    <t>1 Drone</t>
  </si>
  <si>
    <t>Equipos de Audiovisuales</t>
  </si>
  <si>
    <t>Sistema Clear Touch Sensores de movimiento CCT</t>
  </si>
  <si>
    <t>Equipos de Realidad Virtual Software (3)</t>
  </si>
  <si>
    <t>Equipo de Proyección de Holograma CCT</t>
  </si>
  <si>
    <t>Equipos de Video Mapping CCT</t>
  </si>
  <si>
    <t xml:space="preserve">      Tinta Indeleble</t>
  </si>
  <si>
    <t xml:space="preserve">       Lector infrarojo</t>
  </si>
  <si>
    <t xml:space="preserve">      Impresos Fotografias CCT, exposiciones temporales</t>
  </si>
  <si>
    <t>Exposiciones Temporales CCT</t>
  </si>
  <si>
    <t>6 ipad Mini CCT visitas Guiadas</t>
  </si>
  <si>
    <t xml:space="preserve">     Uniformes CCT</t>
  </si>
  <si>
    <t>5 radios de comunicación CCT</t>
  </si>
  <si>
    <t>Festival Tecnológico CCT</t>
  </si>
  <si>
    <t>Exposiciones Temporales artes graficas CCT</t>
  </si>
  <si>
    <t>Realización Paneles y Seminarios CCT</t>
  </si>
  <si>
    <t xml:space="preserve">      Compensación por Servicios de Seguridad</t>
  </si>
  <si>
    <t xml:space="preserve">     Pago por Horas Extraordinarias fin de año</t>
  </si>
  <si>
    <t xml:space="preserve">     Horas Extras</t>
  </si>
  <si>
    <t xml:space="preserve">     Gastos de Representación en el País</t>
  </si>
  <si>
    <t>AÑO 2018</t>
  </si>
  <si>
    <t xml:space="preserve">     Impresiones varias Indotel (impresión tarjetas, formularios, etc.)</t>
  </si>
  <si>
    <t>Impresión tarjetas presentación FDT</t>
  </si>
  <si>
    <t>Bono Reconocimiento al Desempeño</t>
  </si>
  <si>
    <t xml:space="preserve">     Alquiler de Equipos de Transporte</t>
  </si>
  <si>
    <t xml:space="preserve">     Alquiler de Equipos de Cómputos</t>
  </si>
  <si>
    <t xml:space="preserve">     Mant. Y Rep. De muebles y equipos de oficina</t>
  </si>
  <si>
    <t xml:space="preserve">     Mant. Y Rep. De equipos de computación</t>
  </si>
  <si>
    <t xml:space="preserve">     Mant. Y rep. De equipo educacional</t>
  </si>
  <si>
    <t xml:space="preserve">     Mant. Y Rep. De equipos sanitarios y de laboratorio</t>
  </si>
  <si>
    <t xml:space="preserve">     Mant. Y Rep. De equipos de comunicación</t>
  </si>
  <si>
    <t xml:space="preserve">     Mant. Y Rep. Equipo de Transporte</t>
  </si>
  <si>
    <t xml:space="preserve">     Servicios de Capacitacion </t>
  </si>
  <si>
    <t xml:space="preserve">     Servicios de Informática y Sistema </t>
  </si>
  <si>
    <t xml:space="preserve">     Otros Servicios Técnicos y Profesionales</t>
  </si>
  <si>
    <t>Política Nac. De Educación Seguridad Cibernetica</t>
  </si>
  <si>
    <t>Niñas en las Tics</t>
  </si>
  <si>
    <t>Plan Nacional de Educacion para la creación de cultura Cibernetica</t>
  </si>
  <si>
    <t xml:space="preserve">  Alimentos para Humanos</t>
  </si>
  <si>
    <t xml:space="preserve">    Viaje de Estudios (Cant</t>
  </si>
  <si>
    <t xml:space="preserve">  Equipos de Audivisuales</t>
  </si>
  <si>
    <t xml:space="preserve">  Muebles Club</t>
  </si>
  <si>
    <t>Total Gastos Corrientes e Inversión y FDT</t>
  </si>
  <si>
    <t>Depreciaciones y Amortizaciones</t>
  </si>
  <si>
    <t>Total Gastos Corrientes con Depreciaciones</t>
  </si>
  <si>
    <t xml:space="preserve">  Edificaciones Compra de Edificio Indotel</t>
  </si>
  <si>
    <t>USC Central TIC</t>
  </si>
  <si>
    <t>Central Telefónica</t>
  </si>
  <si>
    <t>Construcción Data Center</t>
  </si>
  <si>
    <t>Switch Sisco (12)</t>
  </si>
  <si>
    <t>Switch de Badbone central redundante Sisco Nexus</t>
  </si>
  <si>
    <t>Fibra Optica Data Center</t>
  </si>
  <si>
    <t>Sistema de Gestión Interna</t>
  </si>
  <si>
    <t>Digepres</t>
  </si>
  <si>
    <t>Enero - Julio. 2017     estimado agosto - dic</t>
  </si>
  <si>
    <t xml:space="preserve">    Compensación por uso de vehículos</t>
  </si>
  <si>
    <t>Estructuras Metalicas Acabadas</t>
  </si>
  <si>
    <t xml:space="preserve">     Útiles Menores Medico Quirurgicos</t>
  </si>
  <si>
    <t xml:space="preserve">   Equipo de Seguridad</t>
  </si>
  <si>
    <t xml:space="preserve">Enero - Julio. 2017     </t>
  </si>
  <si>
    <t xml:space="preserve">     Compensación Especiales</t>
  </si>
  <si>
    <t xml:space="preserve">     Otras Gratificaciones</t>
  </si>
  <si>
    <t>Simposio Mundial sobre Capacitación en TIC 2018 (Inte)</t>
  </si>
  <si>
    <t>Viaticos Implementación</t>
  </si>
  <si>
    <t>Otros gastos (viaticos) última milla implementación</t>
  </si>
  <si>
    <t>Premio Nacional a la Innovación en Contenido</t>
  </si>
  <si>
    <t>Pago colocación de avisos, resolución, convocatorias</t>
  </si>
  <si>
    <t>Publicaciones de Reglamentos (Regulación)</t>
  </si>
  <si>
    <t>Hackathon Sector No. 3</t>
  </si>
  <si>
    <t>Hackathon Sector No. 4</t>
  </si>
  <si>
    <t>Capacitación en Feria Regional No. 3</t>
  </si>
  <si>
    <t>Viaticos inauguraciones</t>
  </si>
  <si>
    <t>Viaticos para supervision Fase I CTI</t>
  </si>
  <si>
    <t>Viaticos para supervision Fase II CTI</t>
  </si>
  <si>
    <t xml:space="preserve">            Asesoria Hackaton</t>
  </si>
  <si>
    <t xml:space="preserve">            pago dominios .net .do</t>
  </si>
  <si>
    <t xml:space="preserve">    Adecuación area trabajo Contenidos y aplicaciones</t>
  </si>
  <si>
    <t>Viaticos supervisión CTI 50 centros</t>
  </si>
  <si>
    <t>Viaticos WIFI 2da etapa 684 redes</t>
  </si>
  <si>
    <t>Viaticos levantamiento información CRUM fase 2 y 3 43 nodos</t>
  </si>
  <si>
    <t>Viaticos supervisión CRUM fase 2 y 3 43 nodos</t>
  </si>
  <si>
    <t>Premio Nacional a la Innovación</t>
  </si>
  <si>
    <t xml:space="preserve">2 camionetas FDT </t>
  </si>
  <si>
    <t>2 discos duro externo 4 terabite comunicaciones</t>
  </si>
  <si>
    <t>Convocatoria Julio Becas FDT</t>
  </si>
  <si>
    <t xml:space="preserve">     Pasantias</t>
  </si>
  <si>
    <t xml:space="preserve">       Cuerpos Colegiados apoderamientos 050 (250)</t>
  </si>
  <si>
    <t>Sistema de Planificación</t>
  </si>
  <si>
    <t xml:space="preserve">     2 Auxiliar Eventos</t>
  </si>
  <si>
    <t>2 computadoras personal nuevo Relaciones publicas</t>
  </si>
  <si>
    <t xml:space="preserve">     Caja de cable UTP Cat 6</t>
  </si>
  <si>
    <t xml:space="preserve">     Conectores RJ45</t>
  </si>
  <si>
    <t xml:space="preserve">     Kit de redes</t>
  </si>
  <si>
    <t xml:space="preserve">    viatico inspección espresas televisión por suscripción</t>
  </si>
  <si>
    <t xml:space="preserve">    Viatico banda 900</t>
  </si>
  <si>
    <t xml:space="preserve">     refrigerio PNAF</t>
  </si>
  <si>
    <t xml:space="preserve">      Brindis para acuerdos Asuntos Institucionales</t>
  </si>
  <si>
    <t>Viaticos Asuntos Institucionales</t>
  </si>
  <si>
    <t xml:space="preserve">     Indotel</t>
  </si>
  <si>
    <t>Periodicos (Listin Diario, Hoy, El caribe, Nuevo Diario)</t>
  </si>
  <si>
    <t xml:space="preserve">    ADOAR</t>
  </si>
  <si>
    <t xml:space="preserve">      CCT Actualización de la Sala Expositiva </t>
  </si>
  <si>
    <t xml:space="preserve">       tour operadores para el CCT</t>
  </si>
  <si>
    <t>memorias 64 GB Comunicaciones</t>
  </si>
  <si>
    <t>Tarjeta de Memoria SD 64GB XC clase 10 CCT</t>
  </si>
  <si>
    <t xml:space="preserve">      Bateria para camara D500 CCT</t>
  </si>
  <si>
    <t>Camara Panasonic AGUX180 4k</t>
  </si>
  <si>
    <t>Cámara CCTV  CCT</t>
  </si>
  <si>
    <t xml:space="preserve">     CCT Productos electricos</t>
  </si>
  <si>
    <t>2 sillones para uso personal Asuntos Institucionales</t>
  </si>
  <si>
    <t>1 Archivo grande eventos</t>
  </si>
  <si>
    <t>01/09/2017</t>
  </si>
  <si>
    <t>1 Vehículo para instalar equipos móviles</t>
  </si>
  <si>
    <t>Equipos de calidad de los servicios Inspección</t>
  </si>
  <si>
    <t>Equipamiento e instalacion 21 centros</t>
  </si>
  <si>
    <t>Adecuación física 21 CDSM</t>
  </si>
  <si>
    <t>Transporte y Viaticos supervisión trabajos de infraestructura de 21 centros</t>
  </si>
  <si>
    <t>Señalización 21 CDSM</t>
  </si>
  <si>
    <t>1 Impresora multifuncional Protección al Usuario</t>
  </si>
  <si>
    <t>1 Impresora Multifuncional Normalización y Seguimiento</t>
  </si>
  <si>
    <t>1 Laptop Protocolo</t>
  </si>
  <si>
    <t>Plan Nacional Protección en linea Niños, Niñas  y Adolescentes PNPLNNA</t>
  </si>
  <si>
    <t>1 analizadores de Espectro Radioeléctrico</t>
  </si>
  <si>
    <t>Transp. y Viaticos supervisión trabajos infraestructura 21 centros</t>
  </si>
  <si>
    <t xml:space="preserve">     Otros Servicios Técnicos y Prof. Prestados</t>
  </si>
  <si>
    <t xml:space="preserve">      Uniformes personal (DE)</t>
  </si>
  <si>
    <t xml:space="preserve">     2 Ingenieros</t>
  </si>
  <si>
    <t xml:space="preserve">     1 ingeniero gestión del espectro</t>
  </si>
  <si>
    <t xml:space="preserve">      2 Abogados Depto Litigios</t>
  </si>
  <si>
    <t xml:space="preserve">     2 Paralegales</t>
  </si>
  <si>
    <t xml:space="preserve">    4 Conserjes Servicios Generales</t>
  </si>
  <si>
    <t xml:space="preserve">     4 Choferes</t>
  </si>
  <si>
    <t xml:space="preserve">     3 Mensajeros Interno</t>
  </si>
  <si>
    <t xml:space="preserve">     2 Mensajeros Externos</t>
  </si>
  <si>
    <t xml:space="preserve">     1 Coordinador CCT</t>
  </si>
  <si>
    <t xml:space="preserve">      2 abogados</t>
  </si>
  <si>
    <t xml:space="preserve">     Políticas Regulatorias  (009) </t>
  </si>
  <si>
    <t xml:space="preserve">     2 Economista </t>
  </si>
  <si>
    <t xml:space="preserve">     2 Analistas Legales</t>
  </si>
  <si>
    <t>Ciberseguridad, Comercio Electrónico</t>
  </si>
  <si>
    <t xml:space="preserve">     1 Encargado Comercio Electrónico</t>
  </si>
  <si>
    <t xml:space="preserve">     1 Encargado Firma Digital</t>
  </si>
  <si>
    <t xml:space="preserve">     1 Encargado Ciberseguridad</t>
  </si>
  <si>
    <t xml:space="preserve">      1 Ingeniero</t>
  </si>
  <si>
    <t xml:space="preserve">     Defensa a la Competencia (011) 5 Represent. CAU</t>
  </si>
  <si>
    <t xml:space="preserve">     Comercio Electrónico</t>
  </si>
  <si>
    <t xml:space="preserve">   Aporte ITLA</t>
  </si>
  <si>
    <t>Aporte ITLA</t>
  </si>
  <si>
    <t>PRESUPUESTO</t>
  </si>
  <si>
    <t>Objeto</t>
  </si>
  <si>
    <t>Cuenta</t>
  </si>
  <si>
    <t>Impuestos Internos sobre Mercancías y Servicios</t>
  </si>
  <si>
    <t>Impuesto para Contribuir al Desarrollo de las Telecomunicaciones</t>
  </si>
  <si>
    <t>Otros Ingresos por Intereses</t>
  </si>
  <si>
    <t>Intereses por colocación de Inversión</t>
  </si>
  <si>
    <t>Intereses Percibidos Cuenta Corriente</t>
  </si>
  <si>
    <t>Boletería</t>
  </si>
  <si>
    <t>Cafetería CCT y tienda Souvenir</t>
  </si>
  <si>
    <t>Depósitos no Identificados</t>
  </si>
  <si>
    <t>Alquileres Espacios y Equipos</t>
  </si>
  <si>
    <t>Multas, Recargos y Sanciones</t>
  </si>
  <si>
    <t>Derecho Uso de Espectro Radioeléctrico</t>
  </si>
  <si>
    <t>Club Recreativo INDOTEL</t>
  </si>
  <si>
    <t>Ingresos por indemnización de seguros</t>
  </si>
  <si>
    <t>Disminución de otros activos financieros</t>
  </si>
  <si>
    <t>Variación en Caja y Banco</t>
  </si>
  <si>
    <t>Disminución de Cuentas por Cobrar</t>
  </si>
  <si>
    <t>Otras Fuentes Financieras</t>
  </si>
  <si>
    <t>Variación Cuentas por pagar</t>
  </si>
  <si>
    <t>Disminución en caja y banco</t>
  </si>
  <si>
    <t xml:space="preserve">    Remuneraciones al Personal Fijo</t>
  </si>
  <si>
    <t xml:space="preserve">    Remuneración al Personal Contratado e Igualado</t>
  </si>
  <si>
    <t>Honorarios por Servicios Especiales</t>
  </si>
  <si>
    <t xml:space="preserve">    Sueldo Anual No. 13</t>
  </si>
  <si>
    <t xml:space="preserve">    Prestaciones Laborales</t>
  </si>
  <si>
    <t xml:space="preserve">    Vacaciones</t>
  </si>
  <si>
    <t>Sobre Sueldos</t>
  </si>
  <si>
    <t>Compensación Alimentación</t>
  </si>
  <si>
    <t xml:space="preserve">    Compensación por Horas Extraordinarias</t>
  </si>
  <si>
    <t>Compensación Uso de Vehículo</t>
  </si>
  <si>
    <t xml:space="preserve">    Compensación por Servicios de Seguridad</t>
  </si>
  <si>
    <t xml:space="preserve">    Compensación Especiales</t>
  </si>
  <si>
    <t>Dietas y gastos de Representación</t>
  </si>
  <si>
    <t>Dietas en el país</t>
  </si>
  <si>
    <t>Gastos de Representación en el país</t>
  </si>
  <si>
    <t>Otras Bonificaciones</t>
  </si>
  <si>
    <t xml:space="preserve">    Bono Escolar y Universitario</t>
  </si>
  <si>
    <t xml:space="preserve">    Gratificaciones por Pasantías</t>
  </si>
  <si>
    <t xml:space="preserve">    Gratificaciones por aniversarios de Institución</t>
  </si>
  <si>
    <t>Bono Cumplimiento de Objetivos</t>
  </si>
  <si>
    <t xml:space="preserve">    Teléfono</t>
  </si>
  <si>
    <t xml:space="preserve">    Telefax y Correos</t>
  </si>
  <si>
    <t xml:space="preserve">    Servicio de Internet y TV por Cable</t>
  </si>
  <si>
    <t xml:space="preserve">    Energía Eléctrica</t>
  </si>
  <si>
    <t xml:space="preserve">    Agua y Basura</t>
  </si>
  <si>
    <t xml:space="preserve">    Recolección de Residuos Solidos</t>
  </si>
  <si>
    <t>Publicidad,  Impresión y Encuadernación</t>
  </si>
  <si>
    <t xml:space="preserve">    Publicidad y propaganda</t>
  </si>
  <si>
    <t xml:space="preserve">    Impresión y Encuadernación</t>
  </si>
  <si>
    <t xml:space="preserve">    Publicidad en  Televisión y Radio</t>
  </si>
  <si>
    <t xml:space="preserve">    Pasaje</t>
  </si>
  <si>
    <t xml:space="preserve">    Peaje</t>
  </si>
  <si>
    <t xml:space="preserve">    Alquiler y Rentas de Edificios y Locales</t>
  </si>
  <si>
    <t>Alquileres de Maquinarias y Equipos</t>
  </si>
  <si>
    <t>Alquileres de Parqueo</t>
  </si>
  <si>
    <t xml:space="preserve">    Alquileres de equipos para cómputos</t>
  </si>
  <si>
    <t xml:space="preserve">    Alquiler de maquinarias y equipos de transporte</t>
  </si>
  <si>
    <t xml:space="preserve">    Gastos Seguros Bienes Inmuebles</t>
  </si>
  <si>
    <t xml:space="preserve">    Gastos Seguros Bienes Muebles</t>
  </si>
  <si>
    <t xml:space="preserve">     Seguro Salud Local</t>
  </si>
  <si>
    <t xml:space="preserve">     Seguro Últimos Gastos</t>
  </si>
  <si>
    <t>Servicios de Conservación, Rep. Menores y Const.</t>
  </si>
  <si>
    <t>Conservación y Rep. Maq. Y equipo de oficina</t>
  </si>
  <si>
    <t>Servicios especiales de Mantenimiento y Reparación</t>
  </si>
  <si>
    <t>Limpieza, desmalezamiento de tierras</t>
  </si>
  <si>
    <t>Mant. Y reparación de obras civiles en instalación</t>
  </si>
  <si>
    <t>Conservación y Reparación Maquinarias y Equipos</t>
  </si>
  <si>
    <t xml:space="preserve">    Mantenimiento de herramientas, muebles y oficina</t>
  </si>
  <si>
    <t xml:space="preserve">    Mantenimiento y Reparación equipos de computación</t>
  </si>
  <si>
    <t>Mantenimiento y Reparación equipo educacional</t>
  </si>
  <si>
    <t xml:space="preserve">   Mantenimiento y reparación de equipos</t>
  </si>
  <si>
    <t xml:space="preserve">    Mantenimiento y reparación de equipo de comunicación</t>
  </si>
  <si>
    <t xml:space="preserve">    Mantenimiento y Rep. de Vehículos</t>
  </si>
  <si>
    <t xml:space="preserve">    Gastos Judiciales</t>
  </si>
  <si>
    <t xml:space="preserve">    Comisiones y Gastos Bancarios</t>
  </si>
  <si>
    <t xml:space="preserve">    Servicios Funerarios y Gastos Conexos</t>
  </si>
  <si>
    <t>Eventos y Reuniones (Ver Anexo detallado )</t>
  </si>
  <si>
    <t>Servicios Técnicos y Prof. prestados</t>
  </si>
  <si>
    <t xml:space="preserve">    Servicios Jurídicos</t>
  </si>
  <si>
    <t xml:space="preserve">    Servicios de Contabilidad y Auditorías</t>
  </si>
  <si>
    <t xml:space="preserve">    Servicios de Capacitación</t>
  </si>
  <si>
    <t xml:space="preserve">    Servicios de Informática y sistema </t>
  </si>
  <si>
    <t xml:space="preserve">    Otros Servicios Prof. Y Técnicos</t>
  </si>
  <si>
    <t>Impuestos, Derechos y Tasas</t>
  </si>
  <si>
    <t xml:space="preserve">    Impuestos</t>
  </si>
  <si>
    <t xml:space="preserve">    Tasas</t>
  </si>
  <si>
    <t xml:space="preserve"> Serv. Técnicos y uso der. Software</t>
  </si>
  <si>
    <t xml:space="preserve">    Alimentos para humanos</t>
  </si>
  <si>
    <t xml:space="preserve">    Otros Productos Agroforestales y otros</t>
  </si>
  <si>
    <t>Madera, Corcho y sus Manufacturas</t>
  </si>
  <si>
    <t xml:space="preserve">    Hilados y Telas</t>
  </si>
  <si>
    <t xml:space="preserve">    Acabados Textiles</t>
  </si>
  <si>
    <t xml:space="preserve">    Prenda de vestir</t>
  </si>
  <si>
    <t xml:space="preserve">    Uniformes</t>
  </si>
  <si>
    <t>Productos de Cuero, Caucho y plásticos</t>
  </si>
  <si>
    <t xml:space="preserve">    Artículos Caucho</t>
  </si>
  <si>
    <t xml:space="preserve">    Artículos Plásticos</t>
  </si>
  <si>
    <t>Productos Minerales, Metálicos y N</t>
  </si>
  <si>
    <t xml:space="preserve">    Productos de Cemento</t>
  </si>
  <si>
    <t xml:space="preserve">    Productos de Vidrio, Loza y Porcelana</t>
  </si>
  <si>
    <t xml:space="preserve">    Estructuras Metálicas Acabadas</t>
  </si>
  <si>
    <t xml:space="preserve">    Herramientas y Repuestos menores</t>
  </si>
  <si>
    <t xml:space="preserve">    Piedra Arcilla y Arena</t>
  </si>
  <si>
    <t xml:space="preserve">    Productos Metálicos</t>
  </si>
  <si>
    <t xml:space="preserve">    Minerales</t>
  </si>
  <si>
    <t xml:space="preserve">    Gasolina</t>
  </si>
  <si>
    <t xml:space="preserve">    Gasoil</t>
  </si>
  <si>
    <t>GLP</t>
  </si>
  <si>
    <t xml:space="preserve">    Aceites y Grasas</t>
  </si>
  <si>
    <t>Productos Químicos y Conexos</t>
  </si>
  <si>
    <t>Productos Químicos de uso personal</t>
  </si>
  <si>
    <t xml:space="preserve">    Abonos y Fertilizantes</t>
  </si>
  <si>
    <t xml:space="preserve">    Pinturas, Lacas, Barnices, Diluyentes y Absorbentes</t>
  </si>
  <si>
    <t xml:space="preserve">     Útiles de Escritorios, Oficina y Enseres e informática</t>
  </si>
  <si>
    <t xml:space="preserve">     Útiles menores Médicos-Quirúrgicos</t>
  </si>
  <si>
    <t xml:space="preserve">     Útiles destinados a Actividades Deportivas y Recre.</t>
  </si>
  <si>
    <t xml:space="preserve">     Otros Productos y Accesorios menores</t>
  </si>
  <si>
    <t xml:space="preserve">     Útiles Diversos</t>
  </si>
  <si>
    <t xml:space="preserve">    Ayudas y Donaciones Programadas a Hogares</t>
  </si>
  <si>
    <t xml:space="preserve">       Ayudas con becas</t>
  </si>
  <si>
    <t xml:space="preserve">    Ayudas y Donaciones Ocasionales a Hogares</t>
  </si>
  <si>
    <t xml:space="preserve">    Premios literarios, deportivos y artístico</t>
  </si>
  <si>
    <t>Transferencia para Investigación y Fomento</t>
  </si>
  <si>
    <t>Aporte ONE Encuenta ENHOGAR</t>
  </si>
  <si>
    <t xml:space="preserve">    Aportes ONE</t>
  </si>
  <si>
    <t xml:space="preserve">     Intereses préstamo local</t>
  </si>
  <si>
    <t xml:space="preserve">    Depreciación</t>
  </si>
  <si>
    <t>Pérdida por fluctuación cambiaria</t>
  </si>
  <si>
    <t>Plan Bianual 2014-2015</t>
  </si>
  <si>
    <t>Salas Digitales</t>
  </si>
  <si>
    <t>Sueldo Personal Contratado e Igualado</t>
  </si>
  <si>
    <t>Otros Gastos Salas Digitales</t>
  </si>
  <si>
    <t>Mant y Rep de obras Civiles</t>
  </si>
  <si>
    <t>Equipamiento e Inst. Equipos</t>
  </si>
  <si>
    <t>Centros Tecnológicos Comunitarios</t>
  </si>
  <si>
    <t>Servicio de Internet CCT</t>
  </si>
  <si>
    <t>Hogares Conectados</t>
  </si>
  <si>
    <t>Proyecto Piloto 10000 Hogares Equipos</t>
  </si>
  <si>
    <t>Proyecto Piloto 10000 Hogares conectividad</t>
  </si>
  <si>
    <t>Gestión, Sostenibilidad e Ingeniería Social</t>
  </si>
  <si>
    <t>Inspección Implementación Proyecto Hogares Conectados</t>
  </si>
  <si>
    <t>Centro Digitales de Servicios Múltiples</t>
  </si>
  <si>
    <t>Ejecución proyecto; Adecuación infraestructura, compra equipo y mob</t>
  </si>
  <si>
    <t xml:space="preserve">  Servicio Internet-Biblioteca Municipal La Vega</t>
  </si>
  <si>
    <t>Servicio de Internet Centros Digitales de Serv. Múltiples</t>
  </si>
  <si>
    <t xml:space="preserve">   Adecuación física 25 CDSM</t>
  </si>
  <si>
    <t>Inspección Implementación Proyecto</t>
  </si>
  <si>
    <t>Curso Reparación y Mant. De PC</t>
  </si>
  <si>
    <t>Talleres estandarización Facilitadores Centros Digitales</t>
  </si>
  <si>
    <t>Fondo de la Excelencia Académica</t>
  </si>
  <si>
    <t>Centro Tecnológico del Indotel CTI</t>
  </si>
  <si>
    <t>Equipamiento, mobiliario e instalación</t>
  </si>
  <si>
    <t>Programa de Inclusión Digital</t>
  </si>
  <si>
    <t xml:space="preserve">  Equipos Informática</t>
  </si>
  <si>
    <t xml:space="preserve">   Edificios y Estructuras</t>
  </si>
  <si>
    <t>Construcciones en proceso</t>
  </si>
  <si>
    <t xml:space="preserve">   Equipos de Seguridad</t>
  </si>
  <si>
    <t xml:space="preserve">   Obras</t>
  </si>
  <si>
    <t>Total de Gastos  e Inversión</t>
  </si>
  <si>
    <t>Incremento Caja y Banco</t>
  </si>
  <si>
    <t>Disminución Cuenta por Pagar</t>
  </si>
  <si>
    <t>Cuentas pagadas de meses y/o Años Anteriores</t>
  </si>
  <si>
    <t>Disminución cuentas por pagar externa largo plazo</t>
  </si>
  <si>
    <t>TOTAL GENERAL  DE GASTOS</t>
  </si>
  <si>
    <t>Pagado</t>
  </si>
  <si>
    <t>Variacion</t>
  </si>
  <si>
    <t>Devengado</t>
  </si>
  <si>
    <t>Enero - Diciembre</t>
  </si>
  <si>
    <t>Insecticida, Fumigantes y Otros</t>
  </si>
  <si>
    <t>enero</t>
  </si>
  <si>
    <t>febrero</t>
  </si>
  <si>
    <t>ENERO - MARZO</t>
  </si>
  <si>
    <t>junio</t>
  </si>
  <si>
    <t>enero - junio</t>
  </si>
  <si>
    <t>julio</t>
  </si>
  <si>
    <t>Septiembre</t>
  </si>
  <si>
    <t>Balance inicial en caja y banco</t>
  </si>
  <si>
    <t>mas: Ingreso</t>
  </si>
  <si>
    <t>(=) disponible</t>
  </si>
  <si>
    <t>Menos: gastos</t>
  </si>
  <si>
    <t>(=) Balance Final en caja y banco</t>
  </si>
  <si>
    <t>Incremanto y/o Disminucion en caja y banco</t>
  </si>
  <si>
    <t>Variacion de las cuentas por pagar</t>
  </si>
  <si>
    <t>enero - marzo</t>
  </si>
  <si>
    <t>abril</t>
  </si>
  <si>
    <t xml:space="preserve">Balance inicial </t>
  </si>
  <si>
    <t>Mas: cuentas por pagar del mes</t>
  </si>
  <si>
    <t>Menos: pagos del mes</t>
  </si>
  <si>
    <t>(=) Balance final</t>
  </si>
  <si>
    <t xml:space="preserve">Aumento y/o (disminucion) </t>
  </si>
  <si>
    <t>Enero - Marzo</t>
  </si>
  <si>
    <t>mayo</t>
  </si>
  <si>
    <t>agosto</t>
  </si>
  <si>
    <t>septiembre</t>
  </si>
  <si>
    <t>octubre</t>
  </si>
  <si>
    <t>noviembre</t>
  </si>
  <si>
    <t>diciembre</t>
  </si>
  <si>
    <t>enero-diciembre</t>
  </si>
  <si>
    <t>variacion</t>
  </si>
  <si>
    <t>pagado</t>
  </si>
  <si>
    <t>variación</t>
  </si>
  <si>
    <t xml:space="preserve"> </t>
  </si>
  <si>
    <t>Aumento otros pagado anticipado</t>
  </si>
  <si>
    <t>Aumento de imprevisto</t>
  </si>
  <si>
    <t>Aumento  cuentas por cobrar</t>
  </si>
  <si>
    <t>Aumento otras ctas por cobrar</t>
  </si>
  <si>
    <t>Aumento de los inventarios</t>
  </si>
  <si>
    <t>Aumento fianzas y Depositos</t>
  </si>
  <si>
    <t>Aumento seguro de persona local</t>
  </si>
  <si>
    <t>Aumento seguro de persona int</t>
  </si>
  <si>
    <t>Aumento seguro de inmueble</t>
  </si>
  <si>
    <t>Aumento seguros muebles</t>
  </si>
  <si>
    <t>Seguro Dental</t>
  </si>
  <si>
    <t>Aumento Inversión</t>
  </si>
  <si>
    <t>Aumento amortización Proyectos</t>
  </si>
  <si>
    <t>Aumento Proyectos en ejecución FDT</t>
  </si>
  <si>
    <t>Aumento cuenta por pagar Indotel</t>
  </si>
  <si>
    <t>Aumento impuestos retenidos</t>
  </si>
  <si>
    <t>Variación Fluctuación y Prestamo</t>
  </si>
  <si>
    <t>Disminucion de acum. Y retenciones</t>
  </si>
  <si>
    <t>Disminucion de Ctas / Pagar prov.</t>
  </si>
  <si>
    <t>Disminución cuentas por pagar proyectos</t>
  </si>
  <si>
    <t>Disminucion de financiam. Largo plazo</t>
  </si>
  <si>
    <t>Disminucion de prestaciones laborales</t>
  </si>
  <si>
    <t>Disminucion de regalia pascual</t>
  </si>
  <si>
    <t>Disminucion gratificaciones e incentivos</t>
  </si>
  <si>
    <t>disminucion patrimonio</t>
  </si>
  <si>
    <t>Disminución para litigios</t>
  </si>
  <si>
    <t>Disminuciòn fondo indemnizaciòn</t>
  </si>
  <si>
    <t>Disminución inmuebles</t>
  </si>
  <si>
    <t>Disminución Otros Documentos por pagar</t>
  </si>
  <si>
    <t>Disminución Impuestos Retenidos</t>
  </si>
  <si>
    <t>disminucion del patrimonio</t>
  </si>
  <si>
    <t>Disminucion de los inventarios</t>
  </si>
  <si>
    <t>Disminucion otras cuentas/ pagar</t>
  </si>
  <si>
    <t>subtotal</t>
  </si>
  <si>
    <t>Aumento  provision prestaciones lab.</t>
  </si>
  <si>
    <t>Aumento de acum. Y retenciones</t>
  </si>
  <si>
    <t>IMPUESTOS RETNIDOS</t>
  </si>
  <si>
    <t>Aumento de financiam. Largo plazo</t>
  </si>
  <si>
    <t>Aumento de Ctas / P Prov.</t>
  </si>
  <si>
    <t xml:space="preserve">Aumento de otras  Ctas / P </t>
  </si>
  <si>
    <t>Aumento provision regalia pascual</t>
  </si>
  <si>
    <t>aumento provisión prestaciones laborales</t>
  </si>
  <si>
    <t>Aumento de gratificaciones e incentivos</t>
  </si>
  <si>
    <t>Aumento cuenta por pagar proyectos fdt</t>
  </si>
  <si>
    <t>Aumemto patrimonio</t>
  </si>
  <si>
    <t>Aumento pasivo largo plazo</t>
  </si>
  <si>
    <t>Aumento fondo de indemnización</t>
  </si>
  <si>
    <t>Aumento Ingresos Diferidos</t>
  </si>
  <si>
    <t>disminucion de imprevistos</t>
  </si>
  <si>
    <t>disminuciòn de inversiones</t>
  </si>
  <si>
    <t>disminucion de los inventarios</t>
  </si>
  <si>
    <t>Aumento de patrimonio</t>
  </si>
  <si>
    <t>Disminución Amortizaciones Proyectos</t>
  </si>
  <si>
    <t>Disminucion de cuentas por cobrar</t>
  </si>
  <si>
    <t>Disminución de Fianzas y Depósitos</t>
  </si>
  <si>
    <t>Disminucion  otras cuentas por cobrar</t>
  </si>
  <si>
    <t>Disminucion de seguros  personas</t>
  </si>
  <si>
    <t>disminucion seg medico nacional</t>
  </si>
  <si>
    <t>disminucion seg dental</t>
  </si>
  <si>
    <t>Disminucion otros pagos anticipados</t>
  </si>
  <si>
    <t>Disminucion seguros  bienes muebles</t>
  </si>
  <si>
    <t>Disminucion seguros bienes inmuiebles</t>
  </si>
  <si>
    <t xml:space="preserve">totales net os </t>
  </si>
  <si>
    <t>ESTADO DE EJECUCIÓN PRESUPUESTARIA</t>
  </si>
  <si>
    <t>Valores en RD$</t>
  </si>
  <si>
    <t>AL 31 DE ENERO 2018</t>
  </si>
  <si>
    <t>Actividades Deportivas</t>
  </si>
</sst>
</file>

<file path=xl/styles.xml><?xml version="1.0" encoding="utf-8"?>
<styleSheet xmlns="http://schemas.openxmlformats.org/spreadsheetml/2006/main">
  <numFmts count="4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);\(0\)"/>
    <numFmt numFmtId="179" formatCode="0.0"/>
    <numFmt numFmtId="180" formatCode="0.000000000000000%"/>
    <numFmt numFmtId="181" formatCode="#,##0.0000"/>
    <numFmt numFmtId="182" formatCode="0.0000%"/>
    <numFmt numFmtId="183" formatCode="#,##0.00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"/>
    <numFmt numFmtId="193" formatCode="[$-1C0A]dddd\,\ dd&quot; de &quot;mmmm&quot; de &quot;yyyy"/>
    <numFmt numFmtId="194" formatCode="[$-1C0A]hh:mm:ss\ AM/PM"/>
    <numFmt numFmtId="195" formatCode="#,##0.000000"/>
    <numFmt numFmtId="196" formatCode="0.0%"/>
    <numFmt numFmtId="197" formatCode="#,##0.000000000"/>
    <numFmt numFmtId="198" formatCode="00,000.00"/>
    <numFmt numFmtId="199" formatCode="#,##0.000"/>
    <numFmt numFmtId="200" formatCode="#,##0.00000000"/>
    <numFmt numFmtId="201" formatCode="[$-10409]&quot;$&quot;#,##0.00;\(&quot;$&quot;#,##0.00\)"/>
    <numFmt numFmtId="202" formatCode="[$USD]\ #,##0.00"/>
    <numFmt numFmtId="203" formatCode="#,##0.00;\(#,##0.00\)"/>
  </numFmts>
  <fonts count="10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i/>
      <sz val="7"/>
      <name val="Arial"/>
      <family val="2"/>
    </font>
    <font>
      <sz val="8"/>
      <color indexed="8"/>
      <name val="Garamond"/>
      <family val="1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2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17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rgb="FFFF0000"/>
      <name val="Calibri"/>
      <family val="2"/>
    </font>
    <font>
      <sz val="9"/>
      <color rgb="FF00B05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10"/>
      <color rgb="FF00B050"/>
      <name val="Arial"/>
      <family val="2"/>
    </font>
    <font>
      <sz val="10"/>
      <color theme="9" tint="-0.24997000396251678"/>
      <name val="Arial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21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5" fillId="0" borderId="8" applyNumberFormat="0" applyFill="0" applyAlignment="0" applyProtection="0"/>
    <xf numFmtId="0" fontId="84" fillId="0" borderId="9" applyNumberFormat="0" applyFill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3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3" fontId="9" fillId="0" borderId="1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39" fontId="1" fillId="0" borderId="1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39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43" fontId="12" fillId="0" borderId="11" xfId="0" applyNumberFormat="1" applyFont="1" applyBorder="1" applyAlignment="1">
      <alignment/>
    </xf>
    <xf numFmtId="39" fontId="12" fillId="0" borderId="11" xfId="0" applyNumberFormat="1" applyFont="1" applyBorder="1" applyAlignment="1">
      <alignment/>
    </xf>
    <xf numFmtId="43" fontId="12" fillId="0" borderId="10" xfId="0" applyNumberFormat="1" applyFont="1" applyBorder="1" applyAlignment="1">
      <alignment/>
    </xf>
    <xf numFmtId="39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9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8" fillId="0" borderId="12" xfId="0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4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9" fontId="0" fillId="0" borderId="14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9" fontId="0" fillId="0" borderId="14" xfId="0" applyNumberFormat="1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3" xfId="0" applyNumberFormat="1" applyBorder="1" applyAlignment="1">
      <alignment/>
    </xf>
    <xf numFmtId="0" fontId="8" fillId="0" borderId="14" xfId="0" applyFont="1" applyBorder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9" fontId="9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8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9" fillId="33" borderId="13" xfId="0" applyFont="1" applyFill="1" applyBorder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Border="1" applyAlignment="1">
      <alignment/>
    </xf>
    <xf numFmtId="9" fontId="0" fillId="0" borderId="0" xfId="59" applyFont="1" applyAlignment="1">
      <alignment horizontal="center"/>
    </xf>
    <xf numFmtId="4" fontId="0" fillId="0" borderId="0" xfId="0" applyNumberFormat="1" applyAlignment="1">
      <alignment horizontal="right"/>
    </xf>
    <xf numFmtId="41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9" fontId="9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0" xfId="59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4" fontId="0" fillId="0" borderId="11" xfId="0" applyNumberForma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3" fillId="34" borderId="10" xfId="0" applyFont="1" applyFill="1" applyBorder="1" applyAlignment="1">
      <alignment/>
    </xf>
    <xf numFmtId="0" fontId="8" fillId="35" borderId="14" xfId="0" applyFont="1" applyFill="1" applyBorder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3" fontId="9" fillId="33" borderId="13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0" fillId="0" borderId="0" xfId="0" applyNumberForma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181" fontId="8" fillId="0" borderId="0" xfId="0" applyNumberFormat="1" applyFont="1" applyAlignment="1">
      <alignment/>
    </xf>
    <xf numFmtId="41" fontId="8" fillId="0" borderId="1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85" fillId="0" borderId="0" xfId="0" applyFont="1" applyBorder="1" applyAlignment="1">
      <alignment/>
    </xf>
    <xf numFmtId="3" fontId="85" fillId="0" borderId="0" xfId="0" applyNumberFormat="1" applyFont="1" applyBorder="1" applyAlignment="1">
      <alignment/>
    </xf>
    <xf numFmtId="9" fontId="85" fillId="0" borderId="0" xfId="0" applyNumberFormat="1" applyFont="1" applyBorder="1" applyAlignment="1">
      <alignment/>
    </xf>
    <xf numFmtId="4" fontId="85" fillId="0" borderId="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2" fillId="33" borderId="12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9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39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183" fontId="8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3" fontId="86" fillId="0" borderId="10" xfId="0" applyNumberFormat="1" applyFont="1" applyBorder="1" applyAlignment="1">
      <alignment/>
    </xf>
    <xf numFmtId="3" fontId="1" fillId="35" borderId="1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horizontal="center" wrapText="1"/>
    </xf>
    <xf numFmtId="3" fontId="9" fillId="0" borderId="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4" fontId="87" fillId="0" borderId="0" xfId="0" applyNumberFormat="1" applyFont="1" applyBorder="1" applyAlignment="1">
      <alignment/>
    </xf>
    <xf numFmtId="4" fontId="88" fillId="0" borderId="0" xfId="0" applyNumberFormat="1" applyFont="1" applyBorder="1" applyAlignment="1">
      <alignment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1" fillId="0" borderId="14" xfId="55" applyFont="1" applyBorder="1">
      <alignment/>
      <protection/>
    </xf>
    <xf numFmtId="0" fontId="0" fillId="0" borderId="0" xfId="55">
      <alignment/>
      <protection/>
    </xf>
    <xf numFmtId="41" fontId="0" fillId="0" borderId="0" xfId="59" applyNumberFormat="1" applyFont="1" applyAlignment="1">
      <alignment horizontal="center"/>
    </xf>
    <xf numFmtId="0" fontId="18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43" fontId="2" fillId="34" borderId="10" xfId="0" applyNumberFormat="1" applyFont="1" applyFill="1" applyBorder="1" applyAlignment="1">
      <alignment horizontal="center" vertical="center"/>
    </xf>
    <xf numFmtId="39" fontId="2" fillId="34" borderId="10" xfId="0" applyNumberFormat="1" applyFont="1" applyFill="1" applyBorder="1" applyAlignment="1">
      <alignment horizontal="center" vertical="center"/>
    </xf>
    <xf numFmtId="10" fontId="8" fillId="0" borderId="0" xfId="0" applyNumberFormat="1" applyFont="1" applyAlignment="1">
      <alignment/>
    </xf>
    <xf numFmtId="0" fontId="20" fillId="37" borderId="16" xfId="0" applyFont="1" applyFill="1" applyBorder="1" applyAlignment="1">
      <alignment horizontal="justify" vertical="center" wrapText="1"/>
    </xf>
    <xf numFmtId="0" fontId="20" fillId="37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justify" vertical="center" wrapText="1"/>
    </xf>
    <xf numFmtId="4" fontId="21" fillId="0" borderId="19" xfId="0" applyNumberFormat="1" applyFont="1" applyBorder="1" applyAlignment="1">
      <alignment horizontal="right" vertical="center" wrapText="1"/>
    </xf>
    <xf numFmtId="10" fontId="21" fillId="21" borderId="19" xfId="0" applyNumberFormat="1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center" wrapText="1"/>
    </xf>
    <xf numFmtId="0" fontId="0" fillId="35" borderId="14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3" fillId="35" borderId="0" xfId="0" applyFont="1" applyFill="1" applyBorder="1" applyAlignment="1">
      <alignment/>
    </xf>
    <xf numFmtId="4" fontId="3" fillId="35" borderId="0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3" fillId="36" borderId="0" xfId="0" applyFont="1" applyFill="1" applyBorder="1" applyAlignment="1">
      <alignment/>
    </xf>
    <xf numFmtId="9" fontId="3" fillId="36" borderId="0" xfId="0" applyNumberFormat="1" applyFont="1" applyFill="1" applyBorder="1" applyAlignment="1">
      <alignment/>
    </xf>
    <xf numFmtId="4" fontId="3" fillId="36" borderId="0" xfId="0" applyNumberFormat="1" applyFont="1" applyFill="1" applyBorder="1" applyAlignment="1">
      <alignment/>
    </xf>
    <xf numFmtId="3" fontId="0" fillId="35" borderId="0" xfId="0" applyNumberFormat="1" applyFill="1" applyAlignment="1">
      <alignment/>
    </xf>
    <xf numFmtId="37" fontId="9" fillId="0" borderId="10" xfId="0" applyNumberFormat="1" applyFont="1" applyBorder="1" applyAlignment="1">
      <alignment/>
    </xf>
    <xf numFmtId="0" fontId="89" fillId="0" borderId="10" xfId="0" applyFont="1" applyBorder="1" applyAlignment="1">
      <alignment/>
    </xf>
    <xf numFmtId="0" fontId="90" fillId="0" borderId="0" xfId="0" applyFont="1" applyAlignment="1">
      <alignment/>
    </xf>
    <xf numFmtId="0" fontId="8" fillId="35" borderId="0" xfId="0" applyFont="1" applyFill="1" applyAlignment="1">
      <alignment/>
    </xf>
    <xf numFmtId="4" fontId="8" fillId="35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9" fontId="3" fillId="35" borderId="0" xfId="0" applyNumberFormat="1" applyFont="1" applyFill="1" applyBorder="1" applyAlignment="1">
      <alignment/>
    </xf>
    <xf numFmtId="9" fontId="1" fillId="35" borderId="0" xfId="0" applyNumberFormat="1" applyFont="1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wrapText="1"/>
    </xf>
    <xf numFmtId="0" fontId="91" fillId="0" borderId="0" xfId="0" applyFont="1" applyBorder="1" applyAlignment="1">
      <alignment/>
    </xf>
    <xf numFmtId="9" fontId="91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/>
    </xf>
    <xf numFmtId="3" fontId="12" fillId="35" borderId="10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4" fillId="0" borderId="0" xfId="0" applyNumberFormat="1" applyFont="1" applyBorder="1" applyAlignment="1">
      <alignment horizontal="center" wrapText="1"/>
    </xf>
    <xf numFmtId="4" fontId="8" fillId="38" borderId="10" xfId="0" applyNumberFormat="1" applyFont="1" applyFill="1" applyBorder="1" applyAlignment="1">
      <alignment horizontal="center" vertical="center"/>
    </xf>
    <xf numFmtId="4" fontId="8" fillId="39" borderId="10" xfId="0" applyNumberFormat="1" applyFont="1" applyFill="1" applyBorder="1" applyAlignment="1">
      <alignment vertical="center"/>
    </xf>
    <xf numFmtId="3" fontId="8" fillId="39" borderId="10" xfId="0" applyNumberFormat="1" applyFont="1" applyFill="1" applyBorder="1" applyAlignment="1">
      <alignment vertical="center"/>
    </xf>
    <xf numFmtId="10" fontId="0" fillId="35" borderId="0" xfId="0" applyNumberFormat="1" applyFont="1" applyFill="1" applyAlignment="1">
      <alignment/>
    </xf>
    <xf numFmtId="0" fontId="20" fillId="35" borderId="16" xfId="0" applyFont="1" applyFill="1" applyBorder="1" applyAlignment="1">
      <alignment horizontal="justify" vertical="center" wrapText="1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justify" vertical="center" wrapText="1"/>
    </xf>
    <xf numFmtId="4" fontId="21" fillId="35" borderId="19" xfId="0" applyNumberFormat="1" applyFont="1" applyFill="1" applyBorder="1" applyAlignment="1">
      <alignment horizontal="right" vertical="center" wrapText="1"/>
    </xf>
    <xf numFmtId="0" fontId="1" fillId="35" borderId="14" xfId="0" applyFont="1" applyFill="1" applyBorder="1" applyAlignment="1">
      <alignment/>
    </xf>
    <xf numFmtId="4" fontId="1" fillId="0" borderId="10" xfId="0" applyNumberFormat="1" applyFont="1" applyBorder="1" applyAlignment="1" applyProtection="1">
      <alignment vertical="top"/>
      <protection locked="0"/>
    </xf>
    <xf numFmtId="3" fontId="91" fillId="0" borderId="0" xfId="0" applyNumberFormat="1" applyFont="1" applyBorder="1" applyAlignment="1">
      <alignment/>
    </xf>
    <xf numFmtId="0" fontId="12" fillId="0" borderId="10" xfId="0" applyFont="1" applyFill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4" fontId="1" fillId="35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201" fontId="1" fillId="35" borderId="10" xfId="0" applyNumberFormat="1" applyFont="1" applyFill="1" applyBorder="1" applyAlignment="1" applyProtection="1">
      <alignment vertical="center" readingOrder="1"/>
      <protection locked="0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0" fontId="21" fillId="35" borderId="16" xfId="0" applyFont="1" applyFill="1" applyBorder="1" applyAlignment="1">
      <alignment/>
    </xf>
    <xf numFmtId="4" fontId="21" fillId="35" borderId="19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 applyProtection="1">
      <alignment vertical="top"/>
      <protection locked="0"/>
    </xf>
    <xf numFmtId="0" fontId="0" fillId="35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 horizontal="center" vertical="center"/>
    </xf>
    <xf numFmtId="3" fontId="8" fillId="39" borderId="10" xfId="0" applyNumberFormat="1" applyFont="1" applyFill="1" applyBorder="1" applyAlignment="1">
      <alignment vertical="center"/>
    </xf>
    <xf numFmtId="0" fontId="8" fillId="38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8" fillId="38" borderId="10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wrapText="1"/>
    </xf>
    <xf numFmtId="9" fontId="8" fillId="39" borderId="10" xfId="0" applyNumberFormat="1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/>
    </xf>
    <xf numFmtId="3" fontId="8" fillId="35" borderId="13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4" fontId="8" fillId="35" borderId="0" xfId="0" applyNumberFormat="1" applyFont="1" applyFill="1" applyAlignment="1">
      <alignment vertical="center"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wrapText="1"/>
    </xf>
    <xf numFmtId="3" fontId="8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0" fontId="8" fillId="34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wrapText="1"/>
    </xf>
    <xf numFmtId="3" fontId="2" fillId="0" borderId="10" xfId="0" applyNumberFormat="1" applyFont="1" applyBorder="1" applyAlignment="1">
      <alignment/>
    </xf>
    <xf numFmtId="3" fontId="8" fillId="0" borderId="0" xfId="0" applyNumberFormat="1" applyFont="1" applyAlignment="1">
      <alignment vertical="center"/>
    </xf>
    <xf numFmtId="0" fontId="9" fillId="0" borderId="14" xfId="0" applyFont="1" applyBorder="1" applyAlignment="1">
      <alignment/>
    </xf>
    <xf numFmtId="0" fontId="1" fillId="0" borderId="14" xfId="0" applyFont="1" applyBorder="1" applyAlignment="1">
      <alignment/>
    </xf>
    <xf numFmtId="10" fontId="8" fillId="35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/>
    </xf>
    <xf numFmtId="0" fontId="21" fillId="35" borderId="18" xfId="0" applyFont="1" applyFill="1" applyBorder="1" applyAlignment="1">
      <alignment/>
    </xf>
    <xf numFmtId="3" fontId="8" fillId="35" borderId="0" xfId="0" applyNumberFormat="1" applyFont="1" applyFill="1" applyAlignment="1">
      <alignment/>
    </xf>
    <xf numFmtId="0" fontId="0" fillId="35" borderId="0" xfId="0" applyFont="1" applyFill="1" applyAlignment="1">
      <alignment vertical="center"/>
    </xf>
    <xf numFmtId="4" fontId="0" fillId="35" borderId="0" xfId="0" applyNumberFormat="1" applyFill="1" applyAlignment="1">
      <alignment vertical="center"/>
    </xf>
    <xf numFmtId="0" fontId="19" fillId="0" borderId="0" xfId="0" applyFont="1" applyAlignment="1">
      <alignment/>
    </xf>
    <xf numFmtId="3" fontId="56" fillId="0" borderId="10" xfId="0" applyNumberFormat="1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9" fontId="0" fillId="0" borderId="0" xfId="0" applyNumberFormat="1" applyFont="1" applyAlignment="1">
      <alignment/>
    </xf>
    <xf numFmtId="3" fontId="8" fillId="0" borderId="0" xfId="0" applyNumberFormat="1" applyFont="1" applyBorder="1" applyAlignment="1">
      <alignment wrapText="1"/>
    </xf>
    <xf numFmtId="0" fontId="23" fillId="0" borderId="10" xfId="0" applyFont="1" applyFill="1" applyBorder="1" applyAlignment="1" applyProtection="1">
      <alignment vertical="center" wrapText="1" readingOrder="1"/>
      <protection locked="0"/>
    </xf>
    <xf numFmtId="3" fontId="8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8" fillId="39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Border="1" applyAlignment="1">
      <alignment horizontal="left" vertical="center"/>
    </xf>
    <xf numFmtId="4" fontId="8" fillId="39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9" fontId="3" fillId="0" borderId="10" xfId="0" applyNumberFormat="1" applyFont="1" applyBorder="1" applyAlignment="1">
      <alignment/>
    </xf>
    <xf numFmtId="3" fontId="2" fillId="0" borderId="20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/>
    </xf>
    <xf numFmtId="3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3" fontId="1" fillId="0" borderId="14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3" fontId="9" fillId="0" borderId="14" xfId="0" applyNumberFormat="1" applyFont="1" applyBorder="1" applyAlignment="1">
      <alignment/>
    </xf>
    <xf numFmtId="3" fontId="2" fillId="34" borderId="10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 wrapText="1"/>
    </xf>
    <xf numFmtId="0" fontId="23" fillId="0" borderId="12" xfId="0" applyFont="1" applyFill="1" applyBorder="1" applyAlignment="1" applyProtection="1">
      <alignment vertical="center" wrapText="1" readingOrder="1"/>
      <protection locked="0"/>
    </xf>
    <xf numFmtId="0" fontId="9" fillId="35" borderId="14" xfId="0" applyFont="1" applyFill="1" applyBorder="1" applyAlignment="1">
      <alignment/>
    </xf>
    <xf numFmtId="4" fontId="9" fillId="0" borderId="13" xfId="0" applyNumberFormat="1" applyFont="1" applyBorder="1" applyAlignment="1">
      <alignment wrapText="1"/>
    </xf>
    <xf numFmtId="3" fontId="1" fillId="36" borderId="10" xfId="0" applyNumberFormat="1" applyFont="1" applyFill="1" applyBorder="1" applyAlignment="1">
      <alignment wrapText="1"/>
    </xf>
    <xf numFmtId="3" fontId="1" fillId="36" borderId="10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3" fontId="3" fillId="36" borderId="0" xfId="0" applyNumberFormat="1" applyFont="1" applyFill="1" applyBorder="1" applyAlignment="1">
      <alignment/>
    </xf>
    <xf numFmtId="9" fontId="1" fillId="36" borderId="0" xfId="0" applyNumberFormat="1" applyFont="1" applyFill="1" applyBorder="1" applyAlignment="1">
      <alignment/>
    </xf>
    <xf numFmtId="4" fontId="1" fillId="36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vertical="center" wrapText="1"/>
    </xf>
    <xf numFmtId="3" fontId="13" fillId="35" borderId="1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 wrapText="1"/>
    </xf>
    <xf numFmtId="0" fontId="8" fillId="35" borderId="0" xfId="0" applyFont="1" applyFill="1" applyBorder="1" applyAlignment="1">
      <alignment/>
    </xf>
    <xf numFmtId="4" fontId="8" fillId="35" borderId="0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2" fillId="35" borderId="10" xfId="0" applyFont="1" applyFill="1" applyBorder="1" applyAlignment="1">
      <alignment horizontal="left" vertical="center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3" fontId="2" fillId="35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vertical="center"/>
    </xf>
    <xf numFmtId="4" fontId="2" fillId="35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9" fontId="2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10" fontId="3" fillId="35" borderId="10" xfId="0" applyNumberFormat="1" applyFont="1" applyFill="1" applyBorder="1" applyAlignment="1">
      <alignment horizontal="center"/>
    </xf>
    <xf numFmtId="10" fontId="2" fillId="35" borderId="10" xfId="0" applyNumberFormat="1" applyFont="1" applyFill="1" applyBorder="1" applyAlignment="1">
      <alignment horizontal="center"/>
    </xf>
    <xf numFmtId="10" fontId="3" fillId="35" borderId="10" xfId="0" applyNumberFormat="1" applyFont="1" applyFill="1" applyBorder="1" applyAlignment="1" quotePrefix="1">
      <alignment horizontal="center"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2" fillId="35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 quotePrefix="1">
      <alignment horizontal="center"/>
    </xf>
    <xf numFmtId="10" fontId="2" fillId="34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10" fontId="2" fillId="35" borderId="10" xfId="0" applyNumberFormat="1" applyFont="1" applyFill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/>
    </xf>
    <xf numFmtId="3" fontId="3" fillId="35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 quotePrefix="1">
      <alignment horizontal="center"/>
    </xf>
    <xf numFmtId="1" fontId="3" fillId="35" borderId="10" xfId="0" applyNumberFormat="1" applyFont="1" applyFill="1" applyBorder="1" applyAlignment="1" quotePrefix="1">
      <alignment horizontal="right"/>
    </xf>
    <xf numFmtId="3" fontId="2" fillId="36" borderId="10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Border="1" applyAlignment="1" quotePrefix="1">
      <alignment horizontal="center"/>
    </xf>
    <xf numFmtId="10" fontId="3" fillId="34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10" fontId="2" fillId="34" borderId="10" xfId="0" applyNumberFormat="1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/>
    </xf>
    <xf numFmtId="10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10" fontId="3" fillId="35" borderId="10" xfId="0" applyNumberFormat="1" applyFont="1" applyFill="1" applyBorder="1" applyAlignment="1" quotePrefix="1">
      <alignment horizontal="center" vertical="center"/>
    </xf>
    <xf numFmtId="3" fontId="2" fillId="35" borderId="10" xfId="0" applyNumberFormat="1" applyFont="1" applyFill="1" applyBorder="1" applyAlignment="1">
      <alignment horizontal="right" vertical="center"/>
    </xf>
    <xf numFmtId="10" fontId="2" fillId="35" borderId="10" xfId="0" applyNumberFormat="1" applyFont="1" applyFill="1" applyBorder="1" applyAlignment="1" quotePrefix="1">
      <alignment horizontal="center" vertical="center"/>
    </xf>
    <xf numFmtId="3" fontId="3" fillId="35" borderId="10" xfId="0" applyNumberFormat="1" applyFont="1" applyFill="1" applyBorder="1" applyAlignment="1">
      <alignment vertical="center"/>
    </xf>
    <xf numFmtId="10" fontId="2" fillId="34" borderId="10" xfId="0" applyNumberFormat="1" applyFont="1" applyFill="1" applyBorder="1" applyAlignment="1" quotePrefix="1">
      <alignment horizontal="center" vertical="center"/>
    </xf>
    <xf numFmtId="3" fontId="3" fillId="35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horizontal="center" vertical="center"/>
    </xf>
    <xf numFmtId="3" fontId="2" fillId="34" borderId="0" xfId="0" applyNumberFormat="1" applyFont="1" applyFill="1" applyBorder="1" applyAlignment="1">
      <alignment vertical="center"/>
    </xf>
    <xf numFmtId="10" fontId="2" fillId="34" borderId="0" xfId="0" applyNumberFormat="1" applyFont="1" applyFill="1" applyBorder="1" applyAlignment="1">
      <alignment horizontal="center" vertical="center"/>
    </xf>
    <xf numFmtId="3" fontId="2" fillId="35" borderId="0" xfId="0" applyNumberFormat="1" applyFont="1" applyFill="1" applyBorder="1" applyAlignment="1">
      <alignment vertical="center"/>
    </xf>
    <xf numFmtId="10" fontId="2" fillId="35" borderId="0" xfId="0" applyNumberFormat="1" applyFont="1" applyFill="1" applyBorder="1" applyAlignment="1">
      <alignment horizontal="center" vertical="center"/>
    </xf>
    <xf numFmtId="9" fontId="2" fillId="35" borderId="0" xfId="0" applyNumberFormat="1" applyFont="1" applyFill="1" applyBorder="1" applyAlignment="1">
      <alignment vertical="center"/>
    </xf>
    <xf numFmtId="0" fontId="2" fillId="35" borderId="0" xfId="0" applyFont="1" applyFill="1" applyAlignment="1">
      <alignment/>
    </xf>
    <xf numFmtId="9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2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3" fillId="0" borderId="0" xfId="0" applyFont="1" applyBorder="1" applyAlignment="1">
      <alignment wrapText="1"/>
    </xf>
    <xf numFmtId="10" fontId="2" fillId="34" borderId="10" xfId="0" applyNumberFormat="1" applyFont="1" applyFill="1" applyBorder="1" applyAlignment="1" quotePrefix="1">
      <alignment horizontal="center"/>
    </xf>
    <xf numFmtId="4" fontId="3" fillId="34" borderId="1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center" wrapText="1"/>
    </xf>
    <xf numFmtId="9" fontId="2" fillId="33" borderId="12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 wrapText="1"/>
    </xf>
    <xf numFmtId="1" fontId="2" fillId="33" borderId="13" xfId="0" applyNumberFormat="1" applyFont="1" applyFill="1" applyBorder="1" applyAlignment="1">
      <alignment horizontal="center"/>
    </xf>
    <xf numFmtId="3" fontId="2" fillId="33" borderId="13" xfId="0" applyNumberFormat="1" applyFont="1" applyFill="1" applyBorder="1" applyAlignment="1">
      <alignment horizontal="center" wrapText="1"/>
    </xf>
    <xf numFmtId="9" fontId="2" fillId="33" borderId="13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vertical="center"/>
    </xf>
    <xf numFmtId="3" fontId="1" fillId="0" borderId="13" xfId="0" applyNumberFormat="1" applyFont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center" wrapText="1"/>
    </xf>
    <xf numFmtId="9" fontId="0" fillId="35" borderId="0" xfId="0" applyNumberFormat="1" applyFont="1" applyFill="1" applyAlignment="1">
      <alignment horizontal="center" vertical="center"/>
    </xf>
    <xf numFmtId="3" fontId="1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0" fillId="0" borderId="13" xfId="0" applyNumberFormat="1" applyBorder="1" applyAlignment="1">
      <alignment horizontal="center"/>
    </xf>
    <xf numFmtId="0" fontId="8" fillId="39" borderId="12" xfId="0" applyFont="1" applyFill="1" applyBorder="1" applyAlignment="1">
      <alignment horizontal="center"/>
    </xf>
    <xf numFmtId="0" fontId="8" fillId="39" borderId="13" xfId="0" applyFont="1" applyFill="1" applyBorder="1" applyAlignment="1">
      <alignment horizontal="center"/>
    </xf>
    <xf numFmtId="3" fontId="0" fillId="40" borderId="21" xfId="0" applyNumberFormat="1" applyFont="1" applyFill="1" applyBorder="1" applyAlignment="1">
      <alignment wrapText="1"/>
    </xf>
    <xf numFmtId="0" fontId="0" fillId="40" borderId="21" xfId="0" applyFont="1" applyFill="1" applyBorder="1" applyAlignment="1">
      <alignment/>
    </xf>
    <xf numFmtId="3" fontId="24" fillId="40" borderId="21" xfId="0" applyNumberFormat="1" applyFont="1" applyFill="1" applyBorder="1" applyAlignment="1">
      <alignment/>
    </xf>
    <xf numFmtId="4" fontId="24" fillId="40" borderId="21" xfId="0" applyNumberFormat="1" applyFont="1" applyFill="1" applyBorder="1" applyAlignment="1">
      <alignment/>
    </xf>
    <xf numFmtId="3" fontId="2" fillId="40" borderId="21" xfId="0" applyNumberFormat="1" applyFont="1" applyFill="1" applyBorder="1" applyAlignment="1">
      <alignment/>
    </xf>
    <xf numFmtId="3" fontId="24" fillId="40" borderId="21" xfId="0" applyNumberFormat="1" applyFont="1" applyFill="1" applyBorder="1" applyAlignment="1">
      <alignment vertical="center"/>
    </xf>
    <xf numFmtId="3" fontId="0" fillId="40" borderId="21" xfId="0" applyNumberFormat="1" applyFont="1" applyFill="1" applyBorder="1" applyAlignment="1">
      <alignment vertical="center"/>
    </xf>
    <xf numFmtId="3" fontId="1" fillId="40" borderId="21" xfId="0" applyNumberFormat="1" applyFont="1" applyFill="1" applyBorder="1" applyAlignment="1">
      <alignment vertical="center"/>
    </xf>
    <xf numFmtId="3" fontId="2" fillId="40" borderId="21" xfId="0" applyNumberFormat="1" applyFont="1" applyFill="1" applyBorder="1" applyAlignment="1">
      <alignment vertic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10" fontId="3" fillId="35" borderId="12" xfId="0" applyNumberFormat="1" applyFont="1" applyFill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10" fontId="3" fillId="35" borderId="13" xfId="0" applyNumberFormat="1" applyFont="1" applyFill="1" applyBorder="1" applyAlignment="1">
      <alignment horizontal="center"/>
    </xf>
    <xf numFmtId="10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0" fontId="3" fillId="35" borderId="14" xfId="0" applyNumberFormat="1" applyFont="1" applyFill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14" fontId="2" fillId="0" borderId="0" xfId="0" applyNumberFormat="1" applyFont="1" applyAlignment="1">
      <alignment horizontal="left" vertical="center"/>
    </xf>
    <xf numFmtId="0" fontId="2" fillId="35" borderId="12" xfId="0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2" fillId="34" borderId="20" xfId="0" applyNumberFormat="1" applyFont="1" applyFill="1" applyBorder="1" applyAlignment="1" quotePrefix="1">
      <alignment horizontal="center" vertical="center"/>
    </xf>
    <xf numFmtId="3" fontId="2" fillId="0" borderId="11" xfId="0" applyNumberFormat="1" applyFont="1" applyFill="1" applyBorder="1" applyAlignment="1" quotePrefix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" fontId="3" fillId="0" borderId="14" xfId="0" applyNumberFormat="1" applyFont="1" applyFill="1" applyBorder="1" applyAlignment="1">
      <alignment horizontal="left" vertical="center"/>
    </xf>
    <xf numFmtId="0" fontId="3" fillId="34" borderId="2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3" fillId="35" borderId="14" xfId="0" applyNumberFormat="1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3" fontId="2" fillId="34" borderId="22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3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/>
    </xf>
    <xf numFmtId="3" fontId="2" fillId="0" borderId="14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vertical="center" wrapText="1"/>
    </xf>
    <xf numFmtId="0" fontId="3" fillId="0" borderId="23" xfId="0" applyFont="1" applyBorder="1" applyAlignment="1">
      <alignment/>
    </xf>
    <xf numFmtId="3" fontId="3" fillId="0" borderId="14" xfId="0" applyNumberFormat="1" applyFont="1" applyBorder="1" applyAlignment="1">
      <alignment wrapText="1"/>
    </xf>
    <xf numFmtId="3" fontId="2" fillId="34" borderId="10" xfId="0" applyNumberFormat="1" applyFont="1" applyFill="1" applyBorder="1" applyAlignment="1">
      <alignment wrapText="1"/>
    </xf>
    <xf numFmtId="0" fontId="2" fillId="35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9" borderId="12" xfId="0" applyNumberFormat="1" applyFont="1" applyFill="1" applyBorder="1" applyAlignment="1">
      <alignment horizontal="center"/>
    </xf>
    <xf numFmtId="4" fontId="2" fillId="39" borderId="24" xfId="0" applyNumberFormat="1" applyFont="1" applyFill="1" applyBorder="1" applyAlignment="1">
      <alignment horizontal="center" vertical="center"/>
    </xf>
    <xf numFmtId="4" fontId="2" fillId="39" borderId="13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/>
    </xf>
    <xf numFmtId="4" fontId="8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>
      <alignment/>
    </xf>
    <xf numFmtId="4" fontId="2" fillId="0" borderId="14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4" fontId="0" fillId="0" borderId="13" xfId="0" applyNumberFormat="1" applyBorder="1" applyAlignment="1">
      <alignment/>
    </xf>
    <xf numFmtId="4" fontId="3" fillId="0" borderId="14" xfId="0" applyNumberFormat="1" applyFont="1" applyBorder="1" applyAlignment="1" applyProtection="1">
      <alignment/>
      <protection locked="0"/>
    </xf>
    <xf numFmtId="4" fontId="3" fillId="0" borderId="14" xfId="0" applyNumberFormat="1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Alignment="1">
      <alignment horizontal="center"/>
    </xf>
    <xf numFmtId="4" fontId="29" fillId="0" borderId="0" xfId="0" applyNumberFormat="1" applyFont="1" applyAlignment="1">
      <alignment horizontal="center"/>
    </xf>
    <xf numFmtId="4" fontId="30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31" fillId="0" borderId="0" xfId="0" applyNumberFormat="1" applyFont="1" applyAlignment="1">
      <alignment/>
    </xf>
    <xf numFmtId="4" fontId="2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1" fillId="0" borderId="0" xfId="0" applyFont="1" applyAlignment="1">
      <alignment/>
    </xf>
    <xf numFmtId="0" fontId="31" fillId="35" borderId="0" xfId="0" applyFont="1" applyFill="1" applyAlignment="1">
      <alignment horizontal="center"/>
    </xf>
    <xf numFmtId="4" fontId="31" fillId="0" borderId="0" xfId="0" applyNumberFormat="1" applyFont="1" applyAlignment="1">
      <alignment horizontal="center"/>
    </xf>
    <xf numFmtId="4" fontId="28" fillId="0" borderId="0" xfId="0" applyNumberFormat="1" applyFont="1" applyAlignment="1">
      <alignment/>
    </xf>
    <xf numFmtId="4" fontId="3" fillId="0" borderId="0" xfId="0" applyNumberFormat="1" applyFont="1" applyBorder="1" applyAlignment="1">
      <alignment vertical="center"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4" fontId="28" fillId="35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4" fontId="3" fillId="0" borderId="25" xfId="0" applyNumberFormat="1" applyFont="1" applyBorder="1" applyAlignment="1">
      <alignment/>
    </xf>
    <xf numFmtId="4" fontId="3" fillId="35" borderId="25" xfId="0" applyNumberFormat="1" applyFont="1" applyFill="1" applyBorder="1" applyAlignment="1">
      <alignment/>
    </xf>
    <xf numFmtId="4" fontId="3" fillId="0" borderId="0" xfId="0" applyNumberFormat="1" applyFont="1" applyAlignment="1" quotePrefix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4" fontId="32" fillId="35" borderId="0" xfId="0" applyNumberFormat="1" applyFont="1" applyFill="1" applyAlignment="1">
      <alignment/>
    </xf>
    <xf numFmtId="0" fontId="92" fillId="0" borderId="0" xfId="0" applyFont="1" applyAlignment="1">
      <alignment/>
    </xf>
    <xf numFmtId="0" fontId="93" fillId="0" borderId="27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4" fontId="93" fillId="0" borderId="27" xfId="0" applyNumberFormat="1" applyFont="1" applyBorder="1" applyAlignment="1">
      <alignment horizontal="center"/>
    </xf>
    <xf numFmtId="4" fontId="93" fillId="0" borderId="10" xfId="0" applyNumberFormat="1" applyFont="1" applyBorder="1" applyAlignment="1">
      <alignment horizontal="center"/>
    </xf>
    <xf numFmtId="4" fontId="93" fillId="0" borderId="27" xfId="0" applyNumberFormat="1" applyFont="1" applyFill="1" applyBorder="1" applyAlignment="1">
      <alignment horizontal="center"/>
    </xf>
    <xf numFmtId="4" fontId="93" fillId="0" borderId="10" xfId="0" applyNumberFormat="1" applyFont="1" applyFill="1" applyBorder="1" applyAlignment="1">
      <alignment horizontal="center"/>
    </xf>
    <xf numFmtId="4" fontId="93" fillId="35" borderId="27" xfId="0" applyNumberFormat="1" applyFont="1" applyFill="1" applyBorder="1" applyAlignment="1">
      <alignment horizontal="center"/>
    </xf>
    <xf numFmtId="4" fontId="94" fillId="0" borderId="10" xfId="56" applyNumberFormat="1" applyFont="1" applyBorder="1" applyAlignment="1">
      <alignment horizontal="center"/>
      <protection/>
    </xf>
    <xf numFmtId="4" fontId="28" fillId="0" borderId="12" xfId="0" applyNumberFormat="1" applyFont="1" applyFill="1" applyBorder="1" applyAlignment="1">
      <alignment/>
    </xf>
    <xf numFmtId="4" fontId="28" fillId="0" borderId="10" xfId="0" applyNumberFormat="1" applyFont="1" applyFill="1" applyBorder="1" applyAlignment="1">
      <alignment/>
    </xf>
    <xf numFmtId="4" fontId="60" fillId="0" borderId="10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4" fontId="28" fillId="35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/>
    </xf>
    <xf numFmtId="4" fontId="28" fillId="36" borderId="14" xfId="0" applyNumberFormat="1" applyFont="1" applyFill="1" applyBorder="1" applyAlignment="1">
      <alignment/>
    </xf>
    <xf numFmtId="0" fontId="95" fillId="0" borderId="14" xfId="0" applyFont="1" applyBorder="1" applyAlignment="1">
      <alignment/>
    </xf>
    <xf numFmtId="0" fontId="28" fillId="0" borderId="0" xfId="0" applyFont="1" applyFill="1" applyAlignment="1">
      <alignment/>
    </xf>
    <xf numFmtId="4" fontId="60" fillId="0" borderId="0" xfId="0" applyNumberFormat="1" applyFont="1" applyFill="1" applyBorder="1" applyAlignment="1">
      <alignment/>
    </xf>
    <xf numFmtId="4" fontId="28" fillId="0" borderId="0" xfId="0" applyNumberFormat="1" applyFont="1" applyFill="1" applyAlignment="1">
      <alignment/>
    </xf>
    <xf numFmtId="4" fontId="28" fillId="0" borderId="28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4" fontId="96" fillId="0" borderId="14" xfId="0" applyNumberFormat="1" applyFont="1" applyFill="1" applyBorder="1" applyAlignment="1">
      <alignment/>
    </xf>
    <xf numFmtId="4" fontId="85" fillId="0" borderId="10" xfId="0" applyNumberFormat="1" applyFont="1" applyFill="1" applyBorder="1" applyAlignment="1">
      <alignment/>
    </xf>
    <xf numFmtId="4" fontId="96" fillId="0" borderId="10" xfId="0" applyNumberFormat="1" applyFont="1" applyFill="1" applyBorder="1" applyAlignment="1">
      <alignment/>
    </xf>
    <xf numFmtId="4" fontId="90" fillId="0" borderId="0" xfId="0" applyNumberFormat="1" applyFont="1" applyFill="1" applyAlignment="1">
      <alignment/>
    </xf>
    <xf numFmtId="4" fontId="86" fillId="0" borderId="0" xfId="0" applyNumberFormat="1" applyFont="1" applyFill="1" applyAlignment="1">
      <alignment/>
    </xf>
    <xf numFmtId="4" fontId="90" fillId="0" borderId="14" xfId="0" applyNumberFormat="1" applyFont="1" applyFill="1" applyBorder="1" applyAlignment="1">
      <alignment/>
    </xf>
    <xf numFmtId="4" fontId="96" fillId="0" borderId="15" xfId="0" applyNumberFormat="1" applyFont="1" applyFill="1" applyBorder="1" applyAlignment="1">
      <alignment/>
    </xf>
    <xf numFmtId="4" fontId="97" fillId="0" borderId="10" xfId="0" applyNumberFormat="1" applyFont="1" applyFill="1" applyBorder="1" applyAlignment="1">
      <alignment/>
    </xf>
    <xf numFmtId="4" fontId="96" fillId="0" borderId="0" xfId="0" applyNumberFormat="1" applyFont="1" applyFill="1" applyBorder="1" applyAlignment="1">
      <alignment/>
    </xf>
    <xf numFmtId="4" fontId="86" fillId="0" borderId="10" xfId="0" applyNumberFormat="1" applyFont="1" applyFill="1" applyBorder="1" applyAlignment="1">
      <alignment/>
    </xf>
    <xf numFmtId="4" fontId="93" fillId="0" borderId="15" xfId="0" applyNumberFormat="1" applyFont="1" applyFill="1" applyBorder="1" applyAlignment="1">
      <alignment/>
    </xf>
    <xf numFmtId="4" fontId="28" fillId="0" borderId="20" xfId="0" applyNumberFormat="1" applyFont="1" applyFill="1" applyBorder="1" applyAlignment="1">
      <alignment/>
    </xf>
    <xf numFmtId="4" fontId="93" fillId="0" borderId="14" xfId="0" applyNumberFormat="1" applyFont="1" applyFill="1" applyBorder="1" applyAlignment="1">
      <alignment/>
    </xf>
    <xf numFmtId="4" fontId="57" fillId="0" borderId="10" xfId="0" applyNumberFormat="1" applyFont="1" applyFill="1" applyBorder="1" applyAlignment="1">
      <alignment/>
    </xf>
    <xf numFmtId="4" fontId="60" fillId="0" borderId="20" xfId="0" applyNumberFormat="1" applyFont="1" applyFill="1" applyBorder="1" applyAlignment="1">
      <alignment/>
    </xf>
    <xf numFmtId="4" fontId="93" fillId="36" borderId="15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98" fillId="35" borderId="14" xfId="0" applyFont="1" applyFill="1" applyBorder="1" applyAlignment="1">
      <alignment/>
    </xf>
    <xf numFmtId="4" fontId="99" fillId="0" borderId="14" xfId="0" applyNumberFormat="1" applyFont="1" applyFill="1" applyBorder="1" applyAlignment="1">
      <alignment/>
    </xf>
    <xf numFmtId="4" fontId="100" fillId="0" borderId="10" xfId="0" applyNumberFormat="1" applyFont="1" applyFill="1" applyBorder="1" applyAlignment="1">
      <alignment/>
    </xf>
    <xf numFmtId="0" fontId="101" fillId="0" borderId="10" xfId="0" applyFont="1" applyFill="1" applyBorder="1" applyAlignment="1">
      <alignment/>
    </xf>
    <xf numFmtId="4" fontId="100" fillId="0" borderId="20" xfId="0" applyNumberFormat="1" applyFont="1" applyFill="1" applyBorder="1" applyAlignment="1">
      <alignment/>
    </xf>
    <xf numFmtId="4" fontId="95" fillId="0" borderId="10" xfId="0" applyNumberFormat="1" applyFont="1" applyFill="1" applyBorder="1" applyAlignment="1">
      <alignment/>
    </xf>
    <xf numFmtId="4" fontId="102" fillId="0" borderId="10" xfId="0" applyNumberFormat="1" applyFont="1" applyFill="1" applyBorder="1" applyAlignment="1">
      <alignment/>
    </xf>
    <xf numFmtId="4" fontId="103" fillId="0" borderId="14" xfId="0" applyNumberFormat="1" applyFont="1" applyFill="1" applyBorder="1" applyAlignment="1">
      <alignment/>
    </xf>
    <xf numFmtId="4" fontId="102" fillId="0" borderId="28" xfId="0" applyNumberFormat="1" applyFont="1" applyFill="1" applyBorder="1" applyAlignment="1">
      <alignment/>
    </xf>
    <xf numFmtId="4" fontId="102" fillId="0" borderId="14" xfId="0" applyNumberFormat="1" applyFont="1" applyFill="1" applyBorder="1" applyAlignment="1">
      <alignment/>
    </xf>
    <xf numFmtId="4" fontId="100" fillId="0" borderId="0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24" fillId="0" borderId="12" xfId="0" applyNumberFormat="1" applyFont="1" applyFill="1" applyBorder="1" applyAlignment="1">
      <alignment/>
    </xf>
    <xf numFmtId="4" fontId="93" fillId="0" borderId="13" xfId="0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28" fillId="0" borderId="29" xfId="0" applyNumberFormat="1" applyFont="1" applyFill="1" applyBorder="1" applyAlignment="1">
      <alignment/>
    </xf>
    <xf numFmtId="4" fontId="28" fillId="0" borderId="13" xfId="0" applyNumberFormat="1" applyFont="1" applyFill="1" applyBorder="1" applyAlignment="1">
      <alignment/>
    </xf>
    <xf numFmtId="0" fontId="98" fillId="0" borderId="10" xfId="0" applyFont="1" applyBorder="1" applyAlignment="1">
      <alignment horizontal="right"/>
    </xf>
    <xf numFmtId="4" fontId="104" fillId="0" borderId="10" xfId="0" applyNumberFormat="1" applyFont="1" applyFill="1" applyBorder="1" applyAlignment="1">
      <alignment/>
    </xf>
    <xf numFmtId="4" fontId="99" fillId="0" borderId="22" xfId="0" applyNumberFormat="1" applyFont="1" applyFill="1" applyBorder="1" applyAlignment="1">
      <alignment/>
    </xf>
    <xf numFmtId="4" fontId="99" fillId="0" borderId="10" xfId="0" applyNumberFormat="1" applyFont="1" applyFill="1" applyBorder="1" applyAlignment="1">
      <alignment/>
    </xf>
    <xf numFmtId="4" fontId="99" fillId="35" borderId="20" xfId="0" applyNumberFormat="1" applyFont="1" applyFill="1" applyBorder="1" applyAlignment="1">
      <alignment/>
    </xf>
    <xf numFmtId="4" fontId="104" fillId="0" borderId="30" xfId="0" applyNumberFormat="1" applyFont="1" applyFill="1" applyBorder="1" applyAlignment="1">
      <alignment/>
    </xf>
    <xf numFmtId="4" fontId="99" fillId="35" borderId="31" xfId="0" applyNumberFormat="1" applyFont="1" applyFill="1" applyBorder="1" applyAlignment="1">
      <alignment/>
    </xf>
    <xf numFmtId="4" fontId="100" fillId="35" borderId="10" xfId="0" applyNumberFormat="1" applyFont="1" applyFill="1" applyBorder="1" applyAlignment="1">
      <alignment horizontal="right"/>
    </xf>
    <xf numFmtId="4" fontId="100" fillId="0" borderId="10" xfId="0" applyNumberFormat="1" applyFont="1" applyFill="1" applyBorder="1" applyAlignment="1">
      <alignment horizontal="right"/>
    </xf>
    <xf numFmtId="0" fontId="28" fillId="0" borderId="24" xfId="0" applyFont="1" applyFill="1" applyBorder="1" applyAlignment="1">
      <alignment/>
    </xf>
    <xf numFmtId="4" fontId="24" fillId="0" borderId="13" xfId="0" applyNumberFormat="1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0" borderId="2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4" fillId="0" borderId="0" xfId="0" applyNumberFormat="1" applyFont="1" applyFill="1" applyAlignment="1">
      <alignment/>
    </xf>
    <xf numFmtId="4" fontId="85" fillId="0" borderId="20" xfId="0" applyNumberFormat="1" applyFont="1" applyFill="1" applyBorder="1" applyAlignment="1">
      <alignment/>
    </xf>
    <xf numFmtId="4" fontId="105" fillId="0" borderId="14" xfId="0" applyNumberFormat="1" applyFont="1" applyFill="1" applyBorder="1" applyAlignment="1">
      <alignment/>
    </xf>
    <xf numFmtId="4" fontId="106" fillId="0" borderId="14" xfId="0" applyNumberFormat="1" applyFont="1" applyFill="1" applyBorder="1" applyAlignment="1">
      <alignment/>
    </xf>
    <xf numFmtId="4" fontId="93" fillId="0" borderId="0" xfId="0" applyNumberFormat="1" applyFont="1" applyFill="1" applyBorder="1" applyAlignment="1">
      <alignment/>
    </xf>
    <xf numFmtId="4" fontId="28" fillId="36" borderId="0" xfId="0" applyNumberFormat="1" applyFont="1" applyFill="1" applyAlignment="1">
      <alignment/>
    </xf>
    <xf numFmtId="4" fontId="28" fillId="0" borderId="0" xfId="0" applyNumberFormat="1" applyFont="1" applyFill="1" applyBorder="1" applyAlignment="1">
      <alignment/>
    </xf>
    <xf numFmtId="4" fontId="24" fillId="0" borderId="2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85" fillId="0" borderId="32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95" fillId="0" borderId="15" xfId="0" applyFont="1" applyBorder="1" applyAlignment="1">
      <alignment/>
    </xf>
    <xf numFmtId="4" fontId="85" fillId="0" borderId="26" xfId="0" applyNumberFormat="1" applyFont="1" applyFill="1" applyBorder="1" applyAlignment="1">
      <alignment/>
    </xf>
    <xf numFmtId="4" fontId="96" fillId="0" borderId="20" xfId="0" applyNumberFormat="1" applyFont="1" applyFill="1" applyBorder="1" applyAlignment="1">
      <alignment/>
    </xf>
    <xf numFmtId="0" fontId="95" fillId="0" borderId="13" xfId="0" applyFont="1" applyBorder="1" applyAlignment="1">
      <alignment/>
    </xf>
    <xf numFmtId="4" fontId="93" fillId="0" borderId="27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0" fontId="98" fillId="0" borderId="22" xfId="0" applyFont="1" applyBorder="1" applyAlignment="1">
      <alignment horizontal="right"/>
    </xf>
    <xf numFmtId="4" fontId="99" fillId="0" borderId="22" xfId="0" applyNumberFormat="1" applyFont="1" applyBorder="1" applyAlignment="1">
      <alignment/>
    </xf>
    <xf numFmtId="4" fontId="99" fillId="0" borderId="10" xfId="0" applyNumberFormat="1" applyFont="1" applyBorder="1" applyAlignment="1">
      <alignment/>
    </xf>
    <xf numFmtId="4" fontId="99" fillId="35" borderId="10" xfId="0" applyNumberFormat="1" applyFont="1" applyFill="1" applyBorder="1" applyAlignment="1">
      <alignment/>
    </xf>
    <xf numFmtId="4" fontId="99" fillId="35" borderId="22" xfId="0" applyNumberFormat="1" applyFont="1" applyFill="1" applyBorder="1" applyAlignment="1">
      <alignment/>
    </xf>
    <xf numFmtId="4" fontId="100" fillId="0" borderId="10" xfId="0" applyNumberFormat="1" applyFont="1" applyBorder="1" applyAlignment="1">
      <alignment/>
    </xf>
    <xf numFmtId="0" fontId="95" fillId="0" borderId="22" xfId="0" applyFont="1" applyBorder="1" applyAlignment="1">
      <alignment horizontal="right"/>
    </xf>
    <xf numFmtId="4" fontId="93" fillId="0" borderId="33" xfId="0" applyNumberFormat="1" applyFont="1" applyBorder="1" applyAlignment="1">
      <alignment/>
    </xf>
    <xf numFmtId="4" fontId="93" fillId="36" borderId="34" xfId="0" applyNumberFormat="1" applyFont="1" applyFill="1" applyBorder="1" applyAlignment="1">
      <alignment/>
    </xf>
    <xf numFmtId="4" fontId="93" fillId="0" borderId="10" xfId="0" applyNumberFormat="1" applyFont="1" applyBorder="1" applyAlignment="1">
      <alignment/>
    </xf>
    <xf numFmtId="4" fontId="93" fillId="36" borderId="10" xfId="0" applyNumberFormat="1" applyFont="1" applyFill="1" applyBorder="1" applyAlignment="1">
      <alignment/>
    </xf>
    <xf numFmtId="4" fontId="93" fillId="36" borderId="22" xfId="0" applyNumberFormat="1" applyFont="1" applyFill="1" applyBorder="1" applyAlignment="1">
      <alignment/>
    </xf>
    <xf numFmtId="4" fontId="93" fillId="0" borderId="20" xfId="0" applyNumberFormat="1" applyFont="1" applyBorder="1" applyAlignment="1">
      <alignment/>
    </xf>
    <xf numFmtId="4" fontId="93" fillId="36" borderId="27" xfId="0" applyNumberFormat="1" applyFont="1" applyFill="1" applyBorder="1" applyAlignment="1">
      <alignment/>
    </xf>
    <xf numFmtId="4" fontId="93" fillId="0" borderId="27" xfId="0" applyNumberFormat="1" applyFont="1" applyBorder="1" applyAlignment="1">
      <alignment/>
    </xf>
    <xf numFmtId="4" fontId="102" fillId="0" borderId="10" xfId="0" applyNumberFormat="1" applyFont="1" applyBorder="1" applyAlignment="1">
      <alignment/>
    </xf>
    <xf numFmtId="0" fontId="95" fillId="0" borderId="27" xfId="0" applyFont="1" applyBorder="1" applyAlignment="1">
      <alignment horizontal="right"/>
    </xf>
    <xf numFmtId="4" fontId="93" fillId="0" borderId="35" xfId="0" applyNumberFormat="1" applyFont="1" applyBorder="1" applyAlignment="1">
      <alignment/>
    </xf>
    <xf numFmtId="4" fontId="93" fillId="0" borderId="22" xfId="0" applyNumberFormat="1" applyFont="1" applyBorder="1" applyAlignment="1">
      <alignment/>
    </xf>
    <xf numFmtId="4" fontId="28" fillId="0" borderId="20" xfId="0" applyNumberFormat="1" applyFont="1" applyBorder="1" applyAlignment="1">
      <alignment/>
    </xf>
    <xf numFmtId="4" fontId="85" fillId="0" borderId="14" xfId="0" applyNumberFormat="1" applyFont="1" applyFill="1" applyBorder="1" applyAlignment="1">
      <alignment/>
    </xf>
    <xf numFmtId="4" fontId="90" fillId="0" borderId="1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36" xfId="0" applyNumberFormat="1" applyFill="1" applyBorder="1" applyAlignment="1">
      <alignment/>
    </xf>
    <xf numFmtId="4" fontId="97" fillId="0" borderId="0" xfId="0" applyNumberFormat="1" applyFont="1" applyFill="1" applyAlignment="1">
      <alignment/>
    </xf>
    <xf numFmtId="4" fontId="57" fillId="0" borderId="0" xfId="0" applyNumberFormat="1" applyFont="1" applyFill="1" applyAlignment="1">
      <alignment/>
    </xf>
    <xf numFmtId="4" fontId="24" fillId="0" borderId="15" xfId="0" applyNumberFormat="1" applyFont="1" applyFill="1" applyBorder="1" applyAlignment="1">
      <alignment/>
    </xf>
    <xf numFmtId="0" fontId="28" fillId="0" borderId="14" xfId="0" applyFont="1" applyFill="1" applyBorder="1" applyAlignment="1">
      <alignment/>
    </xf>
    <xf numFmtId="9" fontId="0" fillId="0" borderId="12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8" fillId="39" borderId="12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9" fontId="8" fillId="39" borderId="12" xfId="0" applyNumberFormat="1" applyFont="1" applyFill="1" applyBorder="1" applyAlignment="1">
      <alignment horizontal="center" vertical="center"/>
    </xf>
    <xf numFmtId="9" fontId="8" fillId="39" borderId="13" xfId="0" applyNumberFormat="1" applyFont="1" applyFill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" fontId="0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39" borderId="12" xfId="57" applyFont="1" applyFill="1" applyBorder="1" applyAlignment="1">
      <alignment horizontal="center" vertical="center"/>
    </xf>
    <xf numFmtId="0" fontId="2" fillId="39" borderId="13" xfId="57" applyFont="1" applyFill="1" applyBorder="1" applyAlignment="1">
      <alignment horizontal="center" vertical="center"/>
    </xf>
    <xf numFmtId="0" fontId="2" fillId="39" borderId="23" xfId="57" applyFont="1" applyFill="1" applyBorder="1" applyAlignment="1">
      <alignment horizontal="center" vertical="center"/>
    </xf>
    <xf numFmtId="0" fontId="2" fillId="39" borderId="27" xfId="57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94" fillId="0" borderId="10" xfId="56" applyNumberFormat="1" applyFont="1" applyBorder="1" applyAlignment="1">
      <alignment horizontal="center"/>
      <protection/>
    </xf>
    <xf numFmtId="4" fontId="107" fillId="0" borderId="22" xfId="0" applyNumberFormat="1" applyFont="1" applyBorder="1" applyAlignment="1">
      <alignment horizontal="center"/>
    </xf>
    <xf numFmtId="4" fontId="107" fillId="0" borderId="20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9" fillId="0" borderId="22" xfId="0" applyFont="1" applyBorder="1" applyAlignment="1">
      <alignment horizontal="center"/>
    </xf>
    <xf numFmtId="0" fontId="99" fillId="0" borderId="20" xfId="0" applyFont="1" applyBorder="1" applyAlignment="1">
      <alignment horizontal="center"/>
    </xf>
    <xf numFmtId="0" fontId="107" fillId="0" borderId="22" xfId="0" applyFont="1" applyBorder="1" applyAlignment="1">
      <alignment horizontal="center"/>
    </xf>
    <xf numFmtId="0" fontId="107" fillId="0" borderId="2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Resumen!$Z$375:$Z$377</c:f>
            </c:strRef>
          </c:cat>
          <c:val>
            <c:numRef>
              <c:f>Resumen!$AA$375:$AA$377</c:f>
            </c:numRef>
          </c:val>
          <c:shape val="cylinder"/>
        </c:ser>
        <c:shape val="cylinder"/>
        <c:axId val="20410204"/>
        <c:axId val="49474109"/>
      </c:bar3D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crossAx val="49474109"/>
        <c:crosses val="autoZero"/>
        <c:auto val="1"/>
        <c:lblOffset val="100"/>
        <c:tickLblSkip val="1"/>
        <c:noMultiLvlLbl val="0"/>
      </c:catAx>
      <c:valAx>
        <c:axId val="4947410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FFFFFF"/>
            </a:solidFill>
          </a:ln>
        </c:spPr>
        <c:crossAx val="204102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FFFFFF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75"/>
          <c:y val="0.0875"/>
          <c:w val="0.84675"/>
          <c:h val="0.76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Porcentaje!$A$12:$A$20</c:f>
              <c:strCache/>
            </c:strRef>
          </c:cat>
          <c:val>
            <c:numRef>
              <c:f>Porcentaje!$B$12:$B$20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25"/>
          <c:y val="0.95575"/>
          <c:w val="0.281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del Ingreso</a:t>
            </a:r>
          </a:p>
        </c:rich>
      </c:tx>
      <c:layout>
        <c:manualLayout>
          <c:xMode val="factor"/>
          <c:yMode val="factor"/>
          <c:x val="-0.00475"/>
          <c:y val="-0.007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5"/>
          <c:y val="0.2495"/>
          <c:w val="0.53375"/>
          <c:h val="0.65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Porcentaje!$A$36:$A$43</c:f>
              <c:strCache/>
            </c:strRef>
          </c:cat>
          <c:val>
            <c:numRef>
              <c:f>Porcentaje!$B$36:$B$43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75"/>
          <c:y val="0.187"/>
          <c:w val="0.30925"/>
          <c:h val="0.7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438150</xdr:colOff>
      <xdr:row>372</xdr:row>
      <xdr:rowOff>38100</xdr:rowOff>
    </xdr:from>
    <xdr:to>
      <xdr:col>31</xdr:col>
      <xdr:colOff>1724025</xdr:colOff>
      <xdr:row>387</xdr:row>
      <xdr:rowOff>38100</xdr:rowOff>
    </xdr:to>
    <xdr:graphicFrame>
      <xdr:nvGraphicFramePr>
        <xdr:cNvPr id="1" name="1 Gráfico"/>
        <xdr:cNvGraphicFramePr/>
      </xdr:nvGraphicFramePr>
      <xdr:xfrm>
        <a:off x="8667750" y="37185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0</xdr:row>
      <xdr:rowOff>85725</xdr:rowOff>
    </xdr:from>
    <xdr:to>
      <xdr:col>16</xdr:col>
      <xdr:colOff>352425</xdr:colOff>
      <xdr:row>29</xdr:row>
      <xdr:rowOff>9525</xdr:rowOff>
    </xdr:to>
    <xdr:graphicFrame>
      <xdr:nvGraphicFramePr>
        <xdr:cNvPr id="1" name="3 Gráfico"/>
        <xdr:cNvGraphicFramePr/>
      </xdr:nvGraphicFramePr>
      <xdr:xfrm>
        <a:off x="6657975" y="85725"/>
        <a:ext cx="73723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34</xdr:row>
      <xdr:rowOff>28575</xdr:rowOff>
    </xdr:from>
    <xdr:to>
      <xdr:col>9</xdr:col>
      <xdr:colOff>47625</xdr:colOff>
      <xdr:row>53</xdr:row>
      <xdr:rowOff>19050</xdr:rowOff>
    </xdr:to>
    <xdr:graphicFrame>
      <xdr:nvGraphicFramePr>
        <xdr:cNvPr id="2" name="1 Gráfico"/>
        <xdr:cNvGraphicFramePr/>
      </xdr:nvGraphicFramePr>
      <xdr:xfrm>
        <a:off x="5429250" y="4276725"/>
        <a:ext cx="40290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RCRUZ\My%20Documents\Presupuesto%202006\Ejecuci&#243;n%20Presupuestaria\Ejecuci&#243;n%20Presupuestaria%20octubre%202006%20noviembre%20y%20dic.%20estimad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6\Presupuesto\Presupuesto%20a&#241;o%202016%20Sr%20pl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0\Ejecucin%20presupuestaria%20septiembre%20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1\Ejecuci&#243;n%20Presupuestaria\Ejecuci&#242;n%20Presupuestaria%20octubre%2020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3\Ejecuci&#243;n%20Presupuestaria\Ejecuci&#243;n%20Presupuestaria%20Octubre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4\Ejecuci&#243;n%20Presupuestaria%202014\Gastos%20ejecutados%20del%202010%20al%202014%20con%20estimaci&#243;n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5\Ejecuci&#243;n%20Presupuestaria\Ejecuci&#243;n%20Presupuestaria%20diciembre%20201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7\Ejecuci&#243;n%20Presupuestaria\Ejecuci&#243;n%20Presupuestaria%20Septiembre%2020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7\Ejecuci&#243;n%20Presupuestaria\Ejecuci&#243;n%20Presupuestaria%20junio%202017%20OA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cruz\Documents\Mis%20documentos\Presupuesto%202017\Ejecuci&#243;n%20presupuestaria%20detallada%20ener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lujo"/>
      <sheetName val="Presupuesto FDT"/>
      <sheetName val="Resumen"/>
      <sheetName val="Porcentaje"/>
      <sheetName val="Ejecución Indotel"/>
      <sheetName val="Ejecución FDT"/>
      <sheetName val="CAMARA DE CUENTAS"/>
      <sheetName val="Presupuesto Banco Mundial"/>
      <sheetName val="Ejecución Banco Mundial"/>
      <sheetName val="Ejecución Camara Cuentas"/>
    </sheetNames>
    <sheetDataSet>
      <sheetData sheetId="5">
        <row r="23">
          <cell r="BL23">
            <v>15927549.6</v>
          </cell>
        </row>
        <row r="25">
          <cell r="BL25">
            <v>2083</v>
          </cell>
        </row>
        <row r="27">
          <cell r="BL27">
            <v>31666</v>
          </cell>
        </row>
        <row r="28">
          <cell r="BL28">
            <v>352083.5</v>
          </cell>
        </row>
        <row r="29">
          <cell r="BL29">
            <v>825000</v>
          </cell>
        </row>
        <row r="35">
          <cell r="BL35">
            <v>1592754.96</v>
          </cell>
        </row>
        <row r="36">
          <cell r="BL36">
            <v>1112987</v>
          </cell>
        </row>
        <row r="37">
          <cell r="BL37">
            <v>398188.74</v>
          </cell>
        </row>
        <row r="44">
          <cell r="BL44">
            <v>1260380</v>
          </cell>
        </row>
        <row r="49">
          <cell r="BL49">
            <v>607542.1689761626</v>
          </cell>
        </row>
        <row r="50">
          <cell r="BL50">
            <v>11000</v>
          </cell>
        </row>
        <row r="52">
          <cell r="BL52">
            <v>225513.96769903015</v>
          </cell>
        </row>
        <row r="53">
          <cell r="BL53">
            <v>1000</v>
          </cell>
        </row>
        <row r="57">
          <cell r="BL57">
            <v>92000</v>
          </cell>
        </row>
        <row r="60">
          <cell r="BL60">
            <v>2149999</v>
          </cell>
        </row>
        <row r="61">
          <cell r="BL61">
            <v>212833</v>
          </cell>
        </row>
        <row r="62">
          <cell r="BL62">
            <v>896666</v>
          </cell>
        </row>
        <row r="66">
          <cell r="BL66">
            <v>0</v>
          </cell>
        </row>
        <row r="67">
          <cell r="BL67">
            <v>0</v>
          </cell>
        </row>
        <row r="84">
          <cell r="BL84">
            <v>105000</v>
          </cell>
        </row>
        <row r="85">
          <cell r="BL85">
            <v>516666</v>
          </cell>
        </row>
        <row r="89">
          <cell r="BL89">
            <v>500000</v>
          </cell>
        </row>
        <row r="92">
          <cell r="BL92">
            <v>2169</v>
          </cell>
        </row>
        <row r="94">
          <cell r="BL94">
            <v>1072000</v>
          </cell>
        </row>
        <row r="95">
          <cell r="BL95">
            <v>446743</v>
          </cell>
        </row>
        <row r="96">
          <cell r="BL96">
            <v>16666</v>
          </cell>
        </row>
        <row r="98">
          <cell r="BL98">
            <v>116666</v>
          </cell>
        </row>
        <row r="100">
          <cell r="BL100">
            <v>52083</v>
          </cell>
        </row>
        <row r="101">
          <cell r="BL101">
            <v>223750</v>
          </cell>
        </row>
        <row r="104">
          <cell r="BL104">
            <v>67200</v>
          </cell>
        </row>
        <row r="105">
          <cell r="BL105">
            <v>1287499</v>
          </cell>
        </row>
        <row r="106">
          <cell r="BL106">
            <v>40000</v>
          </cell>
        </row>
        <row r="114">
          <cell r="BL114">
            <v>27916</v>
          </cell>
        </row>
        <row r="126">
          <cell r="BL126">
            <v>533333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lujo"/>
      <sheetName val="Resumen"/>
      <sheetName val="Porcentaje"/>
      <sheetName val="Ejecución"/>
      <sheetName val="Hoja4"/>
      <sheetName val="Hoja2"/>
      <sheetName val="Hoja6"/>
      <sheetName val="Hoja5"/>
      <sheetName val="Sheet1"/>
      <sheetName val="Presupuesto FDT"/>
      <sheetName val="Club"/>
      <sheetName val="GRAFICOS"/>
      <sheetName val="Hoja1"/>
      <sheetName val="Hoja3"/>
      <sheetName val="Museo"/>
      <sheetName val="Hoja7"/>
    </sheetNames>
    <sheetDataSet>
      <sheetData sheetId="4">
        <row r="39">
          <cell r="O39">
            <v>1304857367.2</v>
          </cell>
        </row>
        <row r="1298">
          <cell r="O1298">
            <v>1284283789.92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lujo"/>
      <sheetName val="Presupuesto FDT"/>
      <sheetName val="Resumen"/>
      <sheetName val="Porcentaje"/>
      <sheetName val="Ejecución Indotel"/>
      <sheetName val="Ejecución FDT"/>
      <sheetName val="GRAFICOS"/>
      <sheetName val="CAMARA DE CUENTAS"/>
      <sheetName val="GASTOS CAMARA DE CUENTAS 2"/>
      <sheetName val="INGRESOS CAMARA DE CUENTAS"/>
      <sheetName val="Sheet1"/>
      <sheetName val="Sheet2"/>
      <sheetName val="Ejecución Ipdotel"/>
    </sheetNames>
    <sheetDataSet>
      <sheetData sheetId="5">
        <row r="23">
          <cell r="BC23">
            <v>15281170.430000002</v>
          </cell>
        </row>
      </sheetData>
      <sheetData sheetId="6">
        <row r="17">
          <cell r="BB17">
            <v>2749595.76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lujo"/>
      <sheetName val="Presupuesto FDT"/>
      <sheetName val="Museo"/>
      <sheetName val="Club"/>
      <sheetName val="Resumen"/>
      <sheetName val="Ejecución Indotel"/>
      <sheetName val="GRAFICOS"/>
      <sheetName val="Hoja1"/>
    </sheetNames>
    <sheetDataSet>
      <sheetData sheetId="6">
        <row r="28">
          <cell r="BP28">
            <v>424907193.36999995</v>
          </cell>
        </row>
        <row r="306">
          <cell r="BP306">
            <v>196379023.95</v>
          </cell>
        </row>
        <row r="634">
          <cell r="BP634">
            <v>20799023.55</v>
          </cell>
        </row>
        <row r="883">
          <cell r="BP883">
            <v>601214122.97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lujo"/>
      <sheetName val="Presupuesto FDT"/>
      <sheetName val="Museo"/>
      <sheetName val="Club"/>
      <sheetName val="Resumen"/>
      <sheetName val="Porcentaje"/>
      <sheetName val="Ejecución Indotel"/>
      <sheetName val="Ejecución FDT"/>
      <sheetName val="GRAFICOS"/>
      <sheetName val="CAMARA DE CUENTAS"/>
      <sheetName val="GASTOS CAMARA DE CUENTAS 2"/>
      <sheetName val="INGRESOS CAMARA DE CUENTAS"/>
      <sheetName val="Sheet1"/>
      <sheetName val="Hoja1"/>
      <sheetName val="Hoja2"/>
    </sheetNames>
    <sheetDataSet>
      <sheetData sheetId="0">
        <row r="1044">
          <cell r="P1044">
            <v>2375144.8</v>
          </cell>
        </row>
        <row r="1051">
          <cell r="P1051">
            <v>57280000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>
        <row r="180">
          <cell r="I180">
            <v>2683095.38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Flujo"/>
      <sheetName val="Resumen"/>
      <sheetName val="Hoja5"/>
      <sheetName val="Sheet1"/>
      <sheetName val="Presupuesto FDT"/>
      <sheetName val="Ejecución Presupuestaria"/>
      <sheetName val="Club"/>
      <sheetName val="Porcentaje"/>
      <sheetName val="GRAFICOS"/>
      <sheetName val="Hoja1"/>
      <sheetName val="Hoja2"/>
      <sheetName val="Hoja3"/>
      <sheetName val="Museo"/>
      <sheetName val="Hoja4"/>
    </sheetNames>
    <sheetDataSet>
      <sheetData sheetId="6">
        <row r="108">
          <cell r="CF108">
            <v>0</v>
          </cell>
        </row>
        <row r="117">
          <cell r="CF117">
            <v>2082375.4100000001</v>
          </cell>
        </row>
        <row r="119">
          <cell r="CF119">
            <v>225</v>
          </cell>
        </row>
        <row r="174">
          <cell r="CF174">
            <v>48026</v>
          </cell>
        </row>
        <row r="176">
          <cell r="CF176">
            <v>0</v>
          </cell>
        </row>
        <row r="181">
          <cell r="CF181">
            <v>105593.95</v>
          </cell>
        </row>
        <row r="194">
          <cell r="CF194">
            <v>5186324.32</v>
          </cell>
        </row>
        <row r="207">
          <cell r="CF207">
            <v>275773.01</v>
          </cell>
        </row>
        <row r="238">
          <cell r="CF238">
            <v>627927</v>
          </cell>
        </row>
        <row r="243">
          <cell r="CF243">
            <v>7747831.95</v>
          </cell>
        </row>
        <row r="258">
          <cell r="CF258">
            <v>4290317.109999999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jecución"/>
      <sheetName val="Hoja6"/>
    </sheetNames>
    <sheetDataSet>
      <sheetData sheetId="0">
        <row r="35">
          <cell r="J35">
            <v>167191308.44</v>
          </cell>
          <cell r="Y35">
            <v>182873562.04000008</v>
          </cell>
          <cell r="AH35">
            <v>421223137.39</v>
          </cell>
          <cell r="BI35">
            <v>152497309.88</v>
          </cell>
          <cell r="BR35">
            <v>213231737.2099999</v>
          </cell>
          <cell r="CA35">
            <v>369220795.57000005</v>
          </cell>
          <cell r="CL35">
            <v>115594322.75999999</v>
          </cell>
          <cell r="CT35">
            <v>315067448.25000024</v>
          </cell>
          <cell r="DG35">
            <v>120132938.91999999</v>
          </cell>
        </row>
        <row r="568">
          <cell r="Q568">
            <v>264192345.67999995</v>
          </cell>
          <cell r="Z568">
            <v>161707559.46</v>
          </cell>
          <cell r="AI568">
            <v>393069452.55</v>
          </cell>
          <cell r="BJ568">
            <v>175809138.77999997</v>
          </cell>
          <cell r="BS568">
            <v>148958549.63000003</v>
          </cell>
          <cell r="CB568">
            <v>140104698.41</v>
          </cell>
          <cell r="CL568">
            <v>192696392.14000002</v>
          </cell>
          <cell r="CT568">
            <v>141280164.39999998</v>
          </cell>
          <cell r="DG568">
            <v>235755037.31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Ejecución"/>
      <sheetName val="Hoja6"/>
    </sheetNames>
    <sheetDataSet>
      <sheetData sheetId="1">
        <row r="5">
          <cell r="N5">
            <v>78794053.75000006</v>
          </cell>
        </row>
        <row r="7">
          <cell r="L7">
            <v>139069451.38</v>
          </cell>
          <cell r="N7">
            <v>138093031.24999994</v>
          </cell>
        </row>
        <row r="9">
          <cell r="N9">
            <v>216887085</v>
          </cell>
        </row>
        <row r="11">
          <cell r="L11">
            <v>136481981.62</v>
          </cell>
          <cell r="N11">
            <v>206621927.6</v>
          </cell>
        </row>
        <row r="13">
          <cell r="N13">
            <v>10265157.400000006</v>
          </cell>
        </row>
        <row r="15">
          <cell r="N15">
            <v>-68528896.35000005</v>
          </cell>
        </row>
        <row r="16">
          <cell r="N16">
            <v>-68528896.35</v>
          </cell>
        </row>
        <row r="17">
          <cell r="N1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ariaciones"/>
      <sheetName val="Ingresos"/>
      <sheetName val="Gasto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1231"/>
  <sheetViews>
    <sheetView zoomScale="90" zoomScaleNormal="90" workbookViewId="0" topLeftCell="A1">
      <pane xSplit="1" topLeftCell="B1" activePane="topRight" state="frozen"/>
      <selection pane="topLeft" activeCell="A391" sqref="A391"/>
      <selection pane="topRight" activeCell="A600" sqref="A600:A627"/>
    </sheetView>
  </sheetViews>
  <sheetFormatPr defaultColWidth="9.140625" defaultRowHeight="12.75"/>
  <cols>
    <col min="1" max="1" width="49.7109375" style="9" customWidth="1"/>
    <col min="2" max="2" width="14.00390625" style="142" customWidth="1"/>
    <col min="3" max="12" width="13.57421875" style="12" customWidth="1"/>
    <col min="13" max="13" width="14.00390625" style="12" customWidth="1"/>
    <col min="14" max="14" width="14.140625" style="21" bestFit="1" customWidth="1"/>
    <col min="15" max="15" width="14.00390625" style="9" bestFit="1" customWidth="1"/>
    <col min="16" max="16" width="12.421875" style="9" bestFit="1" customWidth="1"/>
    <col min="17" max="17" width="11.8515625" style="82" customWidth="1"/>
    <col min="18" max="18" width="14.140625" style="106" bestFit="1" customWidth="1"/>
    <col min="19" max="19" width="14.8515625" style="106" bestFit="1" customWidth="1"/>
    <col min="20" max="21" width="14.8515625" style="9" bestFit="1" customWidth="1"/>
    <col min="22" max="22" width="13.421875" style="9" bestFit="1" customWidth="1"/>
    <col min="23" max="33" width="9.140625" style="9" customWidth="1"/>
    <col min="34" max="34" width="16.28125" style="9" bestFit="1" customWidth="1"/>
    <col min="35" max="35" width="13.57421875" style="9" bestFit="1" customWidth="1"/>
    <col min="36" max="16384" width="9.140625" style="9" customWidth="1"/>
  </cols>
  <sheetData>
    <row r="1" spans="1:34" s="7" customFormat="1" ht="16.5">
      <c r="A1" s="134"/>
      <c r="B1" s="185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Q1" s="78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s="7" customFormat="1" ht="26.25">
      <c r="A2" s="718" t="s">
        <v>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Q2" s="78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s="7" customFormat="1" ht="20.25">
      <c r="A3" s="719" t="s">
        <v>46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Q3" s="78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s="7" customFormat="1" ht="20.25">
      <c r="A4" s="719" t="s">
        <v>666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Q4" s="78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s="7" customFormat="1" ht="20.25">
      <c r="A5" s="47"/>
      <c r="B5" s="186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Q5" s="78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s="8" customFormat="1" ht="23.25" customHeight="1">
      <c r="A6" s="188" t="s">
        <v>1</v>
      </c>
      <c r="B6" s="189" t="s">
        <v>2</v>
      </c>
      <c r="C6" s="190" t="s">
        <v>3</v>
      </c>
      <c r="D6" s="190" t="s">
        <v>4</v>
      </c>
      <c r="E6" s="190" t="s">
        <v>5</v>
      </c>
      <c r="F6" s="190" t="s">
        <v>6</v>
      </c>
      <c r="G6" s="190" t="s">
        <v>7</v>
      </c>
      <c r="H6" s="190" t="s">
        <v>8</v>
      </c>
      <c r="I6" s="190" t="s">
        <v>24</v>
      </c>
      <c r="J6" s="190" t="s">
        <v>32</v>
      </c>
      <c r="K6" s="190" t="s">
        <v>33</v>
      </c>
      <c r="L6" s="190" t="s">
        <v>34</v>
      </c>
      <c r="M6" s="190" t="s">
        <v>35</v>
      </c>
      <c r="N6" s="189" t="s">
        <v>348</v>
      </c>
      <c r="O6" s="180"/>
      <c r="P6" s="180"/>
      <c r="Q6" s="181"/>
      <c r="R6" s="182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>
        <v>943603894</v>
      </c>
    </row>
    <row r="7" spans="1:34" s="8" customFormat="1" ht="12">
      <c r="A7" s="13"/>
      <c r="B7" s="13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8"/>
      <c r="Q7" s="79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</row>
    <row r="8" spans="1:34" s="5" customFormat="1" ht="12">
      <c r="A8" s="15" t="s">
        <v>10</v>
      </c>
      <c r="B8" s="13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9"/>
      <c r="Q8" s="80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s="5" customFormat="1" ht="12">
      <c r="A9" s="3"/>
      <c r="B9" s="13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9"/>
      <c r="Q9" s="80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s="5" customFormat="1" ht="12">
      <c r="A10" s="26" t="s">
        <v>11</v>
      </c>
      <c r="B10" s="136">
        <v>126548279.37</v>
      </c>
      <c r="C10" s="4">
        <v>118515164.28</v>
      </c>
      <c r="D10" s="4">
        <v>121899683.54</v>
      </c>
      <c r="E10" s="4">
        <v>121561623.63</v>
      </c>
      <c r="F10" s="4">
        <v>117954342.22</v>
      </c>
      <c r="G10" s="4">
        <v>122019901.81</v>
      </c>
      <c r="H10" s="4">
        <v>120053679.15</v>
      </c>
      <c r="I10" s="4">
        <v>123554329.45</v>
      </c>
      <c r="J10" s="4">
        <v>120432937.5</v>
      </c>
      <c r="K10" s="352">
        <v>119387554.92</v>
      </c>
      <c r="L10" s="4">
        <v>115187695.96</v>
      </c>
      <c r="M10" s="4">
        <v>120646835.62</v>
      </c>
      <c r="N10" s="19">
        <f>SUM(B10:M10)</f>
        <v>1447762027.4499998</v>
      </c>
      <c r="O10" s="76">
        <f>N10/2</f>
        <v>723881013.7249999</v>
      </c>
      <c r="P10" s="76">
        <f>N10+N37</f>
        <v>2147762027.53</v>
      </c>
      <c r="Q10" s="80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s="5" customFormat="1" ht="12">
      <c r="A11" s="3" t="s">
        <v>224</v>
      </c>
      <c r="B11" s="136">
        <v>0</v>
      </c>
      <c r="C11" s="136">
        <f>302741612.97*20%</f>
        <v>60548322.59400001</v>
      </c>
      <c r="D11" s="136">
        <f>302741612.97*50%</f>
        <v>151370806.485</v>
      </c>
      <c r="E11" s="136">
        <f>302741612.97*30%</f>
        <v>90822483.891</v>
      </c>
      <c r="F11" s="4"/>
      <c r="G11" s="4"/>
      <c r="H11" s="4"/>
      <c r="I11" s="4"/>
      <c r="J11" s="4"/>
      <c r="K11" s="4"/>
      <c r="L11" s="4"/>
      <c r="M11" s="4"/>
      <c r="N11" s="19">
        <f aca="true" t="shared" si="0" ref="N11:N28">SUM(B11:M11)</f>
        <v>302741612.97</v>
      </c>
      <c r="P11" s="76">
        <f>SUM(B11:M11)</f>
        <v>302741612.97</v>
      </c>
      <c r="Q11" s="80"/>
      <c r="R11" s="114"/>
      <c r="S11" s="115"/>
      <c r="T11" s="114" t="e">
        <f>#REF!*70%</f>
        <v>#REF!</v>
      </c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s="5" customFormat="1" ht="12" hidden="1">
      <c r="A12" s="3" t="s">
        <v>437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9">
        <f t="shared" si="0"/>
        <v>0</v>
      </c>
      <c r="P12" s="76"/>
      <c r="Q12" s="80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s="216" customFormat="1" ht="12">
      <c r="A13" s="228" t="s">
        <v>577</v>
      </c>
      <c r="B13" s="184">
        <v>1950743.17</v>
      </c>
      <c r="C13" s="184">
        <v>1950743.17</v>
      </c>
      <c r="D13" s="184">
        <v>1950743.17</v>
      </c>
      <c r="E13" s="184">
        <v>1950743.17</v>
      </c>
      <c r="F13" s="184">
        <v>1950743.17</v>
      </c>
      <c r="G13" s="184">
        <v>1950743.17</v>
      </c>
      <c r="H13" s="184">
        <v>1950743.17</v>
      </c>
      <c r="I13" s="184">
        <v>1950743.17</v>
      </c>
      <c r="J13" s="184">
        <v>1950743.17</v>
      </c>
      <c r="K13" s="184">
        <v>1950743.17</v>
      </c>
      <c r="L13" s="184">
        <v>1950743.17</v>
      </c>
      <c r="M13" s="184">
        <v>1950743.17</v>
      </c>
      <c r="N13" s="269">
        <f t="shared" si="0"/>
        <v>23408918.040000007</v>
      </c>
      <c r="P13" s="229">
        <f>SUM(B13:I13)</f>
        <v>15605945.36</v>
      </c>
      <c r="Q13" s="230"/>
      <c r="R13" s="217"/>
      <c r="S13" s="217"/>
      <c r="T13" s="217" t="e">
        <f>T11+#REF!+#REF!+#REF!</f>
        <v>#REF!</v>
      </c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</row>
    <row r="14" spans="1:34" s="216" customFormat="1" ht="12">
      <c r="A14" s="228" t="s">
        <v>585</v>
      </c>
      <c r="B14" s="184">
        <v>372083.34</v>
      </c>
      <c r="C14" s="184">
        <v>372083.34</v>
      </c>
      <c r="D14" s="184">
        <v>372083.34</v>
      </c>
      <c r="E14" s="184">
        <v>372083.34</v>
      </c>
      <c r="F14" s="184">
        <v>372083.34</v>
      </c>
      <c r="G14" s="184">
        <v>372083.34</v>
      </c>
      <c r="H14" s="184">
        <v>372083.34</v>
      </c>
      <c r="I14" s="184">
        <v>372083.34</v>
      </c>
      <c r="J14" s="184">
        <v>372083.34</v>
      </c>
      <c r="K14" s="184">
        <v>372083.34</v>
      </c>
      <c r="L14" s="184">
        <v>372083.34</v>
      </c>
      <c r="M14" s="184">
        <v>372083.34</v>
      </c>
      <c r="N14" s="269">
        <f t="shared" si="0"/>
        <v>4465000.079999999</v>
      </c>
      <c r="P14" s="229"/>
      <c r="Q14" s="230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</row>
    <row r="15" spans="1:34" s="5" customFormat="1" ht="12">
      <c r="A15" s="3" t="s">
        <v>322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9">
        <f t="shared" si="0"/>
        <v>0</v>
      </c>
      <c r="P15" s="76"/>
      <c r="Q15" s="80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s="5" customFormat="1" ht="12">
      <c r="A16" s="3" t="s">
        <v>324</v>
      </c>
      <c r="B16" s="136">
        <v>100000</v>
      </c>
      <c r="C16" s="136">
        <v>100000</v>
      </c>
      <c r="D16" s="136">
        <v>100000</v>
      </c>
      <c r="E16" s="136">
        <v>100000</v>
      </c>
      <c r="F16" s="136">
        <v>100000</v>
      </c>
      <c r="G16" s="136">
        <v>100000</v>
      </c>
      <c r="H16" s="136">
        <v>100000</v>
      </c>
      <c r="I16" s="136">
        <v>100000</v>
      </c>
      <c r="J16" s="136">
        <v>100000</v>
      </c>
      <c r="K16" s="136">
        <v>100000</v>
      </c>
      <c r="L16" s="136">
        <v>100000</v>
      </c>
      <c r="M16" s="136">
        <v>100000</v>
      </c>
      <c r="N16" s="136">
        <f t="shared" si="0"/>
        <v>1200000</v>
      </c>
      <c r="P16" s="76"/>
      <c r="Q16" s="80"/>
      <c r="R16" s="114"/>
      <c r="S16" s="114">
        <f>SUM(N17:N27)</f>
        <v>0</v>
      </c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s="5" customFormat="1" ht="12" hidden="1">
      <c r="A17" s="315" t="s">
        <v>419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136">
        <f t="shared" si="0"/>
        <v>0</v>
      </c>
      <c r="P17" s="76"/>
      <c r="Q17" s="80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s="5" customFormat="1" ht="12" hidden="1">
      <c r="A18" s="315" t="s">
        <v>420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136">
        <f t="shared" si="0"/>
        <v>0</v>
      </c>
      <c r="P18" s="76"/>
      <c r="Q18" s="80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s="5" customFormat="1" ht="12" hidden="1">
      <c r="A19" s="315" t="s">
        <v>421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136">
        <f t="shared" si="0"/>
        <v>0</v>
      </c>
      <c r="P19" s="76"/>
      <c r="Q19" s="80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s="5" customFormat="1" ht="12" hidden="1">
      <c r="A20" s="315" t="s">
        <v>422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136">
        <f t="shared" si="0"/>
        <v>0</v>
      </c>
      <c r="P20" s="76"/>
      <c r="Q20" s="80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</row>
    <row r="21" spans="1:34" s="5" customFormat="1" ht="12" hidden="1">
      <c r="A21" s="315" t="s">
        <v>423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136">
        <f t="shared" si="0"/>
        <v>0</v>
      </c>
      <c r="P21" s="76"/>
      <c r="Q21" s="80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</row>
    <row r="22" spans="1:34" s="5" customFormat="1" ht="12" hidden="1">
      <c r="A22" s="315" t="s">
        <v>424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136">
        <f t="shared" si="0"/>
        <v>0</v>
      </c>
      <c r="P22" s="76"/>
      <c r="Q22" s="80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</row>
    <row r="23" spans="1:34" s="5" customFormat="1" ht="12" hidden="1">
      <c r="A23" s="315" t="s">
        <v>425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136">
        <f t="shared" si="0"/>
        <v>0</v>
      </c>
      <c r="P23" s="76"/>
      <c r="Q23" s="80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</row>
    <row r="24" spans="1:34" s="5" customFormat="1" ht="12" hidden="1">
      <c r="A24" s="315" t="s">
        <v>426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136">
        <f t="shared" si="0"/>
        <v>0</v>
      </c>
      <c r="P24" s="76"/>
      <c r="Q24" s="80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</row>
    <row r="25" spans="1:34" s="5" customFormat="1" ht="12" hidden="1">
      <c r="A25" s="315" t="s">
        <v>427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136">
        <f t="shared" si="0"/>
        <v>0</v>
      </c>
      <c r="P25" s="76"/>
      <c r="Q25" s="80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</row>
    <row r="26" spans="1:34" s="5" customFormat="1" ht="12" hidden="1">
      <c r="A26" s="315" t="s">
        <v>428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136">
        <f t="shared" si="0"/>
        <v>0</v>
      </c>
      <c r="P26" s="76"/>
      <c r="Q26" s="80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</row>
    <row r="27" spans="1:34" s="5" customFormat="1" ht="12" hidden="1">
      <c r="A27" s="315" t="s">
        <v>429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136">
        <f t="shared" si="0"/>
        <v>0</v>
      </c>
      <c r="P27" s="76"/>
      <c r="Q27" s="80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</row>
    <row r="28" spans="1:34" s="5" customFormat="1" ht="12" hidden="1">
      <c r="A28" s="315" t="s">
        <v>475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136">
        <f t="shared" si="0"/>
        <v>0</v>
      </c>
      <c r="P28" s="76"/>
      <c r="Q28" s="80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</row>
    <row r="29" spans="1:34" s="5" customFormat="1" ht="12" hidden="1">
      <c r="A29" s="3" t="s">
        <v>395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9">
        <f aca="true" t="shared" si="1" ref="N29:N37">SUM(B29:M29)</f>
        <v>0</v>
      </c>
      <c r="P29" s="76"/>
      <c r="Q29" s="80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</row>
    <row r="30" spans="1:35" s="6" customFormat="1" ht="12">
      <c r="A30" s="15" t="s">
        <v>13</v>
      </c>
      <c r="B30" s="137">
        <f>SUM(B31:B36)</f>
        <v>531928.9</v>
      </c>
      <c r="C30" s="137">
        <f aca="true" t="shared" si="2" ref="C30:L30">SUM(C31:C36)</f>
        <v>531928.9</v>
      </c>
      <c r="D30" s="137">
        <f t="shared" si="2"/>
        <v>531928.9</v>
      </c>
      <c r="E30" s="137">
        <f>SUM(E31:E36)</f>
        <v>531928.9</v>
      </c>
      <c r="F30" s="137">
        <f t="shared" si="2"/>
        <v>531928.9</v>
      </c>
      <c r="G30" s="137">
        <f t="shared" si="2"/>
        <v>531928.9</v>
      </c>
      <c r="H30" s="137">
        <f t="shared" si="2"/>
        <v>531928.9</v>
      </c>
      <c r="I30" s="137">
        <f t="shared" si="2"/>
        <v>531928.9</v>
      </c>
      <c r="J30" s="137">
        <f t="shared" si="2"/>
        <v>531928.9</v>
      </c>
      <c r="K30" s="137">
        <f t="shared" si="2"/>
        <v>531928.9</v>
      </c>
      <c r="L30" s="137">
        <f t="shared" si="2"/>
        <v>531928.9</v>
      </c>
      <c r="M30" s="137">
        <f>SUM(M31:M36)</f>
        <v>531928.9</v>
      </c>
      <c r="N30" s="20">
        <f>SUM(B30:M30)</f>
        <v>6383146.800000002</v>
      </c>
      <c r="O30" s="65">
        <f>SUM(N31:N36)</f>
        <v>6383146.8</v>
      </c>
      <c r="P30" s="65">
        <f>SUM(C30:I30)</f>
        <v>3723502.3</v>
      </c>
      <c r="Q30" s="81"/>
      <c r="R30" s="115"/>
      <c r="S30" s="115"/>
      <c r="T30" s="115" t="e">
        <f>T13-N1100</f>
        <v>#REF!</v>
      </c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>
        <f>SUM(N11:N31)</f>
        <v>338251824.69000006</v>
      </c>
      <c r="AI30" s="6">
        <v>418947416</v>
      </c>
    </row>
    <row r="31" spans="1:34" s="5" customFormat="1" ht="12">
      <c r="A31" s="3" t="s">
        <v>565</v>
      </c>
      <c r="B31" s="136">
        <v>4428.9</v>
      </c>
      <c r="C31" s="136">
        <v>4428.9</v>
      </c>
      <c r="D31" s="136">
        <v>4428.9</v>
      </c>
      <c r="E31" s="136">
        <v>4428.9</v>
      </c>
      <c r="F31" s="136">
        <v>4428.9</v>
      </c>
      <c r="G31" s="136">
        <v>4428.9</v>
      </c>
      <c r="H31" s="136">
        <v>4428.9</v>
      </c>
      <c r="I31" s="136">
        <v>4428.9</v>
      </c>
      <c r="J31" s="136">
        <v>4428.9</v>
      </c>
      <c r="K31" s="136">
        <v>4428.9</v>
      </c>
      <c r="L31" s="136">
        <v>4428.9</v>
      </c>
      <c r="M31" s="136">
        <v>4428.9</v>
      </c>
      <c r="N31" s="19">
        <f t="shared" si="1"/>
        <v>53146.80000000001</v>
      </c>
      <c r="P31" s="76"/>
      <c r="Q31" s="80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</row>
    <row r="32" spans="1:35" s="5" customFormat="1" ht="12" hidden="1">
      <c r="A32" s="3" t="s">
        <v>566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9">
        <f t="shared" si="1"/>
        <v>0</v>
      </c>
      <c r="P32" s="80">
        <f>N43/O39</f>
        <v>1.1323893806803065</v>
      </c>
      <c r="Q32" s="80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76">
        <f>N11+N30+N31</f>
        <v>309177906.57000005</v>
      </c>
    </row>
    <row r="33" spans="1:35" s="5" customFormat="1" ht="12">
      <c r="A33" s="3" t="s">
        <v>567</v>
      </c>
      <c r="B33" s="136">
        <v>2500</v>
      </c>
      <c r="C33" s="136">
        <v>2500</v>
      </c>
      <c r="D33" s="136">
        <v>2500</v>
      </c>
      <c r="E33" s="136">
        <v>2500</v>
      </c>
      <c r="F33" s="136">
        <v>2500</v>
      </c>
      <c r="G33" s="136">
        <v>2500</v>
      </c>
      <c r="H33" s="136">
        <v>2500</v>
      </c>
      <c r="I33" s="136">
        <v>2500</v>
      </c>
      <c r="J33" s="136">
        <v>2500</v>
      </c>
      <c r="K33" s="136">
        <v>2500</v>
      </c>
      <c r="L33" s="136">
        <v>2500</v>
      </c>
      <c r="M33" s="136">
        <v>2500</v>
      </c>
      <c r="N33" s="19">
        <f t="shared" si="1"/>
        <v>30000</v>
      </c>
      <c r="P33" s="80"/>
      <c r="Q33" s="80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76"/>
    </row>
    <row r="34" spans="1:35" s="5" customFormat="1" ht="12">
      <c r="A34" s="3" t="s">
        <v>568</v>
      </c>
      <c r="B34" s="136">
        <v>5000</v>
      </c>
      <c r="C34" s="136">
        <v>5000</v>
      </c>
      <c r="D34" s="136">
        <v>5000</v>
      </c>
      <c r="E34" s="136">
        <v>5000</v>
      </c>
      <c r="F34" s="136">
        <v>5000</v>
      </c>
      <c r="G34" s="136">
        <v>5000</v>
      </c>
      <c r="H34" s="136">
        <v>5000</v>
      </c>
      <c r="I34" s="136">
        <v>5000</v>
      </c>
      <c r="J34" s="136">
        <v>5000</v>
      </c>
      <c r="K34" s="136">
        <v>5000</v>
      </c>
      <c r="L34" s="136">
        <v>5000</v>
      </c>
      <c r="M34" s="136">
        <v>5000</v>
      </c>
      <c r="N34" s="19">
        <f t="shared" si="1"/>
        <v>60000</v>
      </c>
      <c r="P34" s="80"/>
      <c r="Q34" s="80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76"/>
    </row>
    <row r="35" spans="1:35" s="5" customFormat="1" ht="12">
      <c r="A35" s="3" t="s">
        <v>672</v>
      </c>
      <c r="B35" s="136">
        <v>500000</v>
      </c>
      <c r="C35" s="136">
        <v>500000</v>
      </c>
      <c r="D35" s="136">
        <v>500000</v>
      </c>
      <c r="E35" s="136">
        <v>500000</v>
      </c>
      <c r="F35" s="136">
        <v>500000</v>
      </c>
      <c r="G35" s="136">
        <v>500000</v>
      </c>
      <c r="H35" s="136">
        <v>500000</v>
      </c>
      <c r="I35" s="136">
        <v>500000</v>
      </c>
      <c r="J35" s="136">
        <v>500000</v>
      </c>
      <c r="K35" s="136">
        <v>500000</v>
      </c>
      <c r="L35" s="136">
        <v>500000</v>
      </c>
      <c r="M35" s="136">
        <v>500000</v>
      </c>
      <c r="N35" s="19">
        <f t="shared" si="1"/>
        <v>6000000</v>
      </c>
      <c r="P35" s="80"/>
      <c r="Q35" s="80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76"/>
    </row>
    <row r="36" spans="1:35" s="5" customFormat="1" ht="12">
      <c r="A36" s="3" t="s">
        <v>13</v>
      </c>
      <c r="B36" s="136">
        <v>20000</v>
      </c>
      <c r="C36" s="136">
        <v>20000</v>
      </c>
      <c r="D36" s="136">
        <v>20000</v>
      </c>
      <c r="E36" s="136">
        <v>20000</v>
      </c>
      <c r="F36" s="136">
        <v>20000</v>
      </c>
      <c r="G36" s="136">
        <v>20000</v>
      </c>
      <c r="H36" s="136">
        <v>20000</v>
      </c>
      <c r="I36" s="136">
        <v>20000</v>
      </c>
      <c r="J36" s="136">
        <v>20000</v>
      </c>
      <c r="K36" s="136">
        <v>20000</v>
      </c>
      <c r="L36" s="136">
        <v>20000</v>
      </c>
      <c r="M36" s="136">
        <v>20000</v>
      </c>
      <c r="N36" s="19">
        <f t="shared" si="1"/>
        <v>240000</v>
      </c>
      <c r="P36" s="80"/>
      <c r="Q36" s="80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76"/>
    </row>
    <row r="37" spans="1:35" s="6" customFormat="1" ht="12">
      <c r="A37" s="15" t="s">
        <v>571</v>
      </c>
      <c r="B37" s="136">
        <v>58333333.34</v>
      </c>
      <c r="C37" s="136">
        <v>58333333.34</v>
      </c>
      <c r="D37" s="136">
        <v>58333333.34</v>
      </c>
      <c r="E37" s="136">
        <v>58333333.34</v>
      </c>
      <c r="F37" s="136">
        <v>58333333.34</v>
      </c>
      <c r="G37" s="136">
        <v>58333333.34</v>
      </c>
      <c r="H37" s="136">
        <v>58333333.34</v>
      </c>
      <c r="I37" s="136">
        <v>58333333.34</v>
      </c>
      <c r="J37" s="136">
        <v>58333333.34</v>
      </c>
      <c r="K37" s="136">
        <v>58333333.34</v>
      </c>
      <c r="L37" s="136">
        <v>58333333.34</v>
      </c>
      <c r="M37" s="136">
        <v>58333333.34</v>
      </c>
      <c r="N37" s="19">
        <f t="shared" si="1"/>
        <v>700000000.0800003</v>
      </c>
      <c r="P37" s="81"/>
      <c r="Q37" s="81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65"/>
    </row>
    <row r="38" spans="1:35" s="6" customFormat="1" ht="12">
      <c r="A38" s="3"/>
      <c r="B38" s="13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P38" s="76">
        <f aca="true" t="shared" si="3" ref="P38:P46">SUM(B38:I38)</f>
        <v>0</v>
      </c>
      <c r="Q38" s="81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65">
        <f>AI32-AI30</f>
        <v>-109769509.42999995</v>
      </c>
    </row>
    <row r="39" spans="1:34" s="6" customFormat="1" ht="16.5" customHeight="1">
      <c r="A39" s="267" t="s">
        <v>23</v>
      </c>
      <c r="B39" s="268">
        <f>B10+B11+B12+B13+B14+B15+B16+B28+B29+B30+B37</f>
        <v>187836368.12</v>
      </c>
      <c r="C39" s="268">
        <f aca="true" t="shared" si="4" ref="C39:M39">C10+C11+C12+C13+C14+C15+C16+C28+C29+C30+C37</f>
        <v>240351575.624</v>
      </c>
      <c r="D39" s="268">
        <f t="shared" si="4"/>
        <v>334558578.775</v>
      </c>
      <c r="E39" s="268">
        <f t="shared" si="4"/>
        <v>273672196.271</v>
      </c>
      <c r="F39" s="268">
        <f t="shared" si="4"/>
        <v>179242430.97000003</v>
      </c>
      <c r="G39" s="268">
        <f t="shared" si="4"/>
        <v>183307990.56</v>
      </c>
      <c r="H39" s="268">
        <f t="shared" si="4"/>
        <v>181341767.90000004</v>
      </c>
      <c r="I39" s="268">
        <f t="shared" si="4"/>
        <v>184842418.20000002</v>
      </c>
      <c r="J39" s="268">
        <f t="shared" si="4"/>
        <v>181721026.25</v>
      </c>
      <c r="K39" s="268">
        <f t="shared" si="4"/>
        <v>180675643.67000002</v>
      </c>
      <c r="L39" s="268">
        <f t="shared" si="4"/>
        <v>176475784.71</v>
      </c>
      <c r="M39" s="268">
        <f t="shared" si="4"/>
        <v>181934924.37</v>
      </c>
      <c r="N39" s="268">
        <f>N10+N11+N12+N13+N14+N15+N16+N28+N29+N30+N37</f>
        <v>2485960705.42</v>
      </c>
      <c r="O39" s="65">
        <f>O10+N11+N16+N30</f>
        <v>1034205773.4949999</v>
      </c>
      <c r="P39" s="76">
        <f t="shared" si="3"/>
        <v>1765153326.4200003</v>
      </c>
      <c r="Q39" s="81"/>
      <c r="R39" s="115"/>
      <c r="S39" s="115">
        <f>SUM(B39:M39)</f>
        <v>2485960705.42</v>
      </c>
      <c r="T39" s="115">
        <f>N1100</f>
        <v>2400269608.1255207</v>
      </c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</row>
    <row r="40" spans="1:34" s="6" customFormat="1" ht="12">
      <c r="A40" s="3"/>
      <c r="B40" s="13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0"/>
      <c r="P40" s="76">
        <f t="shared" si="3"/>
        <v>0</v>
      </c>
      <c r="Q40" s="81"/>
      <c r="R40" s="115"/>
      <c r="S40" s="115"/>
      <c r="T40" s="115" t="e">
        <f>#REF!</f>
        <v>#REF!</v>
      </c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</row>
    <row r="41" spans="1:34" s="5" customFormat="1" ht="13.5" customHeight="1">
      <c r="A41" s="15" t="s">
        <v>14</v>
      </c>
      <c r="B41" s="13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19"/>
      <c r="P41" s="76">
        <f t="shared" si="3"/>
        <v>0</v>
      </c>
      <c r="Q41" s="80"/>
      <c r="R41" s="114"/>
      <c r="S41" s="114"/>
      <c r="T41" s="114" t="e">
        <f>T39/T40</f>
        <v>#REF!</v>
      </c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</row>
    <row r="42" spans="1:34" s="5" customFormat="1" ht="3" customHeight="1">
      <c r="A42" s="15"/>
      <c r="B42" s="13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19"/>
      <c r="P42" s="76">
        <f t="shared" si="3"/>
        <v>0</v>
      </c>
      <c r="Q42" s="80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</row>
    <row r="43" spans="1:35" s="48" customFormat="1" ht="18" customHeight="1">
      <c r="A43" s="297" t="s">
        <v>15</v>
      </c>
      <c r="B43" s="358">
        <f aca="true" t="shared" si="5" ref="B43:N43">B44+B216+B298+B300+B371</f>
        <v>91475438.10400002</v>
      </c>
      <c r="C43" s="358">
        <f t="shared" si="5"/>
        <v>90446225.10400002</v>
      </c>
      <c r="D43" s="358">
        <f t="shared" si="5"/>
        <v>90446225.10400002</v>
      </c>
      <c r="E43" s="358">
        <f t="shared" si="5"/>
        <v>91475438.10400002</v>
      </c>
      <c r="F43" s="358">
        <f t="shared" si="5"/>
        <v>90446225.10400002</v>
      </c>
      <c r="G43" s="358">
        <f t="shared" si="5"/>
        <v>148448308.18400005</v>
      </c>
      <c r="H43" s="358">
        <f t="shared" si="5"/>
        <v>91475438.10400002</v>
      </c>
      <c r="I43" s="358">
        <f t="shared" si="5"/>
        <v>90446225.10400002</v>
      </c>
      <c r="J43" s="358">
        <f t="shared" si="5"/>
        <v>90446225.10400002</v>
      </c>
      <c r="K43" s="358">
        <f t="shared" si="5"/>
        <v>91475438.10400002</v>
      </c>
      <c r="L43" s="358">
        <f t="shared" si="5"/>
        <v>90446225.10400002</v>
      </c>
      <c r="M43" s="358">
        <f t="shared" si="5"/>
        <v>114096224.12000002</v>
      </c>
      <c r="N43" s="358">
        <f t="shared" si="5"/>
        <v>1171123635.3440003</v>
      </c>
      <c r="O43" s="293">
        <f>SUM(B43:M43)</f>
        <v>1171123635.344</v>
      </c>
      <c r="P43" s="234">
        <f>SUM(B43:I43)</f>
        <v>784659522.9120001</v>
      </c>
      <c r="Q43" s="83">
        <f>N43/N39</f>
        <v>0.4710949906773126</v>
      </c>
      <c r="R43" s="107" t="e">
        <f>N44+N118+N216+N280+#REF!+#REF!+#REF!+N325</f>
        <v>#REF!</v>
      </c>
      <c r="S43" s="107" t="e">
        <f>S46+S68+S118+S119+S239+S259+S280+#REF!+S161+S198+S180+S141+S328+S326+S346+N368+N369+N370</f>
        <v>#REF!</v>
      </c>
      <c r="T43" s="107" t="e">
        <f>N39-S43</f>
        <v>#REF!</v>
      </c>
      <c r="U43" s="107">
        <f>N10/2</f>
        <v>723881013.7249999</v>
      </c>
      <c r="V43" s="107" t="e">
        <f>T43-U43</f>
        <v>#REF!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>
        <f>SUM(B43:M43)</f>
        <v>1171123635.344</v>
      </c>
      <c r="AI43" s="293" t="e">
        <f>N43+#REF!</f>
        <v>#REF!</v>
      </c>
    </row>
    <row r="44" spans="1:34" s="48" customFormat="1" ht="13.5" customHeight="1">
      <c r="A44" s="23" t="s">
        <v>504</v>
      </c>
      <c r="B44" s="294">
        <f>B45+B141+B160+B161+B180+B198</f>
        <v>73910834.54400001</v>
      </c>
      <c r="C44" s="294">
        <f aca="true" t="shared" si="6" ref="C44:M44">C46+C68+C119+C141+C160+C161+C180+C198</f>
        <v>73910834.54400001</v>
      </c>
      <c r="D44" s="294">
        <f t="shared" si="6"/>
        <v>73910834.54400001</v>
      </c>
      <c r="E44" s="294">
        <f t="shared" si="6"/>
        <v>73910834.54400001</v>
      </c>
      <c r="F44" s="294">
        <f t="shared" si="6"/>
        <v>73910834.54400001</v>
      </c>
      <c r="G44" s="294">
        <f t="shared" si="6"/>
        <v>73910834.54400001</v>
      </c>
      <c r="H44" s="294">
        <f t="shared" si="6"/>
        <v>73910834.54400001</v>
      </c>
      <c r="I44" s="294">
        <f t="shared" si="6"/>
        <v>73910834.54400001</v>
      </c>
      <c r="J44" s="294">
        <f t="shared" si="6"/>
        <v>73910834.54400001</v>
      </c>
      <c r="K44" s="294">
        <f t="shared" si="6"/>
        <v>73910834.54400001</v>
      </c>
      <c r="L44" s="294">
        <f t="shared" si="6"/>
        <v>73910834.54400001</v>
      </c>
      <c r="M44" s="294">
        <f t="shared" si="6"/>
        <v>73910834.54400001</v>
      </c>
      <c r="N44" s="151">
        <f>SUM(B44:M44)</f>
        <v>886930014.5280002</v>
      </c>
      <c r="O44" s="294">
        <f>N46+N68+N119+N141+N160+N161+N180+N198</f>
        <v>886930014.528</v>
      </c>
      <c r="P44" s="234">
        <f t="shared" si="3"/>
        <v>591286676.3520001</v>
      </c>
      <c r="Q44" s="83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 s="48" customFormat="1" ht="13.5" customHeight="1">
      <c r="A45" s="23" t="s">
        <v>525</v>
      </c>
      <c r="B45" s="294">
        <f aca="true" t="shared" si="7" ref="B45:M45">B46+B68+B119</f>
        <v>59125000.040000014</v>
      </c>
      <c r="C45" s="294">
        <f t="shared" si="7"/>
        <v>59125000.040000014</v>
      </c>
      <c r="D45" s="294">
        <f t="shared" si="7"/>
        <v>59125000.040000014</v>
      </c>
      <c r="E45" s="294">
        <f t="shared" si="7"/>
        <v>59125000.040000014</v>
      </c>
      <c r="F45" s="294">
        <f t="shared" si="7"/>
        <v>59125000.040000014</v>
      </c>
      <c r="G45" s="294">
        <f t="shared" si="7"/>
        <v>59125000.040000014</v>
      </c>
      <c r="H45" s="294">
        <f t="shared" si="7"/>
        <v>59125000.040000014</v>
      </c>
      <c r="I45" s="294">
        <f t="shared" si="7"/>
        <v>59125000.040000014</v>
      </c>
      <c r="J45" s="294">
        <f t="shared" si="7"/>
        <v>59125000.040000014</v>
      </c>
      <c r="K45" s="294">
        <f t="shared" si="7"/>
        <v>59125000.040000014</v>
      </c>
      <c r="L45" s="294">
        <f t="shared" si="7"/>
        <v>59125000.040000014</v>
      </c>
      <c r="M45" s="294">
        <f t="shared" si="7"/>
        <v>59125000.040000014</v>
      </c>
      <c r="N45" s="151">
        <f>SUM(B45:M45)</f>
        <v>709500000.48</v>
      </c>
      <c r="O45" s="320"/>
      <c r="P45" s="234"/>
      <c r="Q45" s="83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 s="6" customFormat="1" ht="12" customHeight="1">
      <c r="A46" s="15" t="s">
        <v>588</v>
      </c>
      <c r="B46" s="137">
        <f aca="true" t="shared" si="8" ref="B46:L46">SUM(B47:B67)</f>
        <v>57200000.040000014</v>
      </c>
      <c r="C46" s="137">
        <f t="shared" si="8"/>
        <v>57200000.040000014</v>
      </c>
      <c r="D46" s="137">
        <f>SUM(D47:D67)</f>
        <v>57200000.040000014</v>
      </c>
      <c r="E46" s="137">
        <f>SUM(E47:E67)</f>
        <v>57200000.040000014</v>
      </c>
      <c r="F46" s="137">
        <f t="shared" si="8"/>
        <v>57200000.040000014</v>
      </c>
      <c r="G46" s="137">
        <f t="shared" si="8"/>
        <v>57200000.040000014</v>
      </c>
      <c r="H46" s="137">
        <f t="shared" si="8"/>
        <v>57200000.040000014</v>
      </c>
      <c r="I46" s="137">
        <f t="shared" si="8"/>
        <v>57200000.040000014</v>
      </c>
      <c r="J46" s="137">
        <f t="shared" si="8"/>
        <v>57200000.040000014</v>
      </c>
      <c r="K46" s="137">
        <f t="shared" si="8"/>
        <v>57200000.040000014</v>
      </c>
      <c r="L46" s="137">
        <f t="shared" si="8"/>
        <v>57200000.040000014</v>
      </c>
      <c r="M46" s="137">
        <f>SUM(M47:M67)</f>
        <v>57200000.040000014</v>
      </c>
      <c r="N46" s="16">
        <f>SUM(B46:M46)</f>
        <v>686400000.48</v>
      </c>
      <c r="O46" s="65">
        <f>N43-O43</f>
        <v>0</v>
      </c>
      <c r="P46" s="65">
        <f t="shared" si="3"/>
        <v>457600000.3200001</v>
      </c>
      <c r="Q46" s="81"/>
      <c r="R46" s="115">
        <f>'[1]Ejecución Indotel'!$BL$23</f>
        <v>15927549.6</v>
      </c>
      <c r="S46" s="115">
        <f>SUM(N47:N67)</f>
        <v>686400000.4800001</v>
      </c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>
        <f>'[2]Ejecución Indotel'!$BC$23+'[2]Ejecución FDT'!$BB$17</f>
        <v>18030766.19</v>
      </c>
    </row>
    <row r="47" spans="1:34" s="5" customFormat="1" ht="12">
      <c r="A47" s="3" t="s">
        <v>283</v>
      </c>
      <c r="B47" s="184">
        <v>3177777.78</v>
      </c>
      <c r="C47" s="184">
        <v>3177777.78</v>
      </c>
      <c r="D47" s="184">
        <v>3177777.78</v>
      </c>
      <c r="E47" s="184">
        <v>3177777.78</v>
      </c>
      <c r="F47" s="184">
        <v>3177777.78</v>
      </c>
      <c r="G47" s="184">
        <v>3177777.78</v>
      </c>
      <c r="H47" s="184">
        <v>3177777.78</v>
      </c>
      <c r="I47" s="184">
        <v>3177777.78</v>
      </c>
      <c r="J47" s="184">
        <v>3177777.78</v>
      </c>
      <c r="K47" s="184">
        <v>3177777.78</v>
      </c>
      <c r="L47" s="184">
        <v>3177777.78</v>
      </c>
      <c r="M47" s="184">
        <v>3177777.78</v>
      </c>
      <c r="N47" s="4">
        <f>SUM(B47:M47)</f>
        <v>38133333.36000001</v>
      </c>
      <c r="P47" s="76"/>
      <c r="Q47" s="80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</row>
    <row r="48" spans="1:34" s="5" customFormat="1" ht="12" customHeight="1">
      <c r="A48" s="3" t="s">
        <v>282</v>
      </c>
      <c r="B48" s="184">
        <v>3177777.78</v>
      </c>
      <c r="C48" s="184">
        <v>3177777.78</v>
      </c>
      <c r="D48" s="184">
        <v>3177777.78</v>
      </c>
      <c r="E48" s="184">
        <v>3177777.78</v>
      </c>
      <c r="F48" s="184">
        <v>3177777.78</v>
      </c>
      <c r="G48" s="184">
        <v>3177777.78</v>
      </c>
      <c r="H48" s="184">
        <v>3177777.78</v>
      </c>
      <c r="I48" s="184">
        <v>3177777.78</v>
      </c>
      <c r="J48" s="184">
        <v>3177777.78</v>
      </c>
      <c r="K48" s="184">
        <v>3177777.78</v>
      </c>
      <c r="L48" s="184">
        <v>3177777.78</v>
      </c>
      <c r="M48" s="184">
        <v>3177777.78</v>
      </c>
      <c r="N48" s="4">
        <f aca="true" t="shared" si="9" ref="N48:N67">SUM(B48:M48)</f>
        <v>38133333.36000001</v>
      </c>
      <c r="P48" s="76"/>
      <c r="Q48" s="80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</row>
    <row r="49" spans="1:34" s="5" customFormat="1" ht="12" customHeight="1">
      <c r="A49" s="3" t="s">
        <v>281</v>
      </c>
      <c r="B49" s="184">
        <v>3177777.78</v>
      </c>
      <c r="C49" s="184">
        <v>3177777.78</v>
      </c>
      <c r="D49" s="184">
        <v>3177777.78</v>
      </c>
      <c r="E49" s="184">
        <v>3177777.78</v>
      </c>
      <c r="F49" s="184">
        <v>3177777.78</v>
      </c>
      <c r="G49" s="184">
        <v>3177777.78</v>
      </c>
      <c r="H49" s="184">
        <v>3177777.78</v>
      </c>
      <c r="I49" s="184">
        <v>3177777.78</v>
      </c>
      <c r="J49" s="184">
        <v>3177777.78</v>
      </c>
      <c r="K49" s="184">
        <v>3177777.78</v>
      </c>
      <c r="L49" s="184">
        <v>3177777.78</v>
      </c>
      <c r="M49" s="184">
        <v>3177777.78</v>
      </c>
      <c r="N49" s="4">
        <f t="shared" si="9"/>
        <v>38133333.36000001</v>
      </c>
      <c r="P49" s="76"/>
      <c r="Q49" s="80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</row>
    <row r="50" spans="1:34" s="5" customFormat="1" ht="12" customHeight="1">
      <c r="A50" s="3" t="s">
        <v>239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4">
        <f t="shared" si="9"/>
        <v>0</v>
      </c>
      <c r="P50" s="76"/>
      <c r="Q50" s="80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</row>
    <row r="51" spans="1:34" s="5" customFormat="1" ht="12" customHeight="1">
      <c r="A51" s="3" t="s">
        <v>240</v>
      </c>
      <c r="B51" s="184">
        <v>3177777.78</v>
      </c>
      <c r="C51" s="184">
        <v>3177777.78</v>
      </c>
      <c r="D51" s="184">
        <v>3177777.78</v>
      </c>
      <c r="E51" s="184">
        <v>3177777.78</v>
      </c>
      <c r="F51" s="184">
        <v>3177777.78</v>
      </c>
      <c r="G51" s="184">
        <v>3177777.78</v>
      </c>
      <c r="H51" s="184">
        <v>3177777.78</v>
      </c>
      <c r="I51" s="184">
        <v>3177777.78</v>
      </c>
      <c r="J51" s="184">
        <v>3177777.78</v>
      </c>
      <c r="K51" s="184">
        <v>3177777.78</v>
      </c>
      <c r="L51" s="184">
        <v>3177777.78</v>
      </c>
      <c r="M51" s="184">
        <v>3177777.78</v>
      </c>
      <c r="N51" s="4">
        <f t="shared" si="9"/>
        <v>38133333.36000001</v>
      </c>
      <c r="P51" s="76"/>
      <c r="Q51" s="80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</row>
    <row r="52" spans="1:34" s="5" customFormat="1" ht="12">
      <c r="A52" s="3" t="s">
        <v>241</v>
      </c>
      <c r="B52" s="184">
        <v>3177777.78</v>
      </c>
      <c r="C52" s="184">
        <v>3177777.78</v>
      </c>
      <c r="D52" s="184">
        <v>3177777.78</v>
      </c>
      <c r="E52" s="184">
        <v>3177777.78</v>
      </c>
      <c r="F52" s="184">
        <v>3177777.78</v>
      </c>
      <c r="G52" s="184">
        <v>3177777.78</v>
      </c>
      <c r="H52" s="184">
        <v>3177777.78</v>
      </c>
      <c r="I52" s="184">
        <v>3177777.78</v>
      </c>
      <c r="J52" s="184">
        <v>3177777.78</v>
      </c>
      <c r="K52" s="184">
        <v>3177777.78</v>
      </c>
      <c r="L52" s="184">
        <v>3177777.78</v>
      </c>
      <c r="M52" s="184">
        <v>3177777.78</v>
      </c>
      <c r="N52" s="4">
        <f t="shared" si="9"/>
        <v>38133333.36000001</v>
      </c>
      <c r="P52" s="76"/>
      <c r="Q52" s="80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</row>
    <row r="53" spans="1:34" s="5" customFormat="1" ht="12" customHeight="1">
      <c r="A53" s="3" t="s">
        <v>242</v>
      </c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4">
        <f t="shared" si="9"/>
        <v>0</v>
      </c>
      <c r="P53" s="76"/>
      <c r="Q53" s="80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</row>
    <row r="54" spans="1:34" s="5" customFormat="1" ht="12" customHeight="1">
      <c r="A54" s="3" t="s">
        <v>243</v>
      </c>
      <c r="B54" s="184">
        <v>3177777.78</v>
      </c>
      <c r="C54" s="184">
        <v>3177777.78</v>
      </c>
      <c r="D54" s="184">
        <v>3177777.78</v>
      </c>
      <c r="E54" s="184">
        <v>3177777.78</v>
      </c>
      <c r="F54" s="184">
        <v>3177777.78</v>
      </c>
      <c r="G54" s="184">
        <v>3177777.78</v>
      </c>
      <c r="H54" s="184">
        <v>3177777.78</v>
      </c>
      <c r="I54" s="184">
        <v>3177777.78</v>
      </c>
      <c r="J54" s="184">
        <v>3177777.78</v>
      </c>
      <c r="K54" s="184">
        <v>3177777.78</v>
      </c>
      <c r="L54" s="184">
        <v>3177777.78</v>
      </c>
      <c r="M54" s="184">
        <v>3177777.78</v>
      </c>
      <c r="N54" s="4">
        <f t="shared" si="9"/>
        <v>38133333.36000001</v>
      </c>
      <c r="P54" s="76"/>
      <c r="Q54" s="80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</row>
    <row r="55" spans="1:34" s="5" customFormat="1" ht="12" customHeight="1">
      <c r="A55" s="3" t="s">
        <v>244</v>
      </c>
      <c r="B55" s="184">
        <v>3177777.78</v>
      </c>
      <c r="C55" s="184">
        <v>3177777.78</v>
      </c>
      <c r="D55" s="184">
        <v>3177777.78</v>
      </c>
      <c r="E55" s="184">
        <v>3177777.78</v>
      </c>
      <c r="F55" s="184">
        <v>3177777.78</v>
      </c>
      <c r="G55" s="184">
        <v>3177777.78</v>
      </c>
      <c r="H55" s="184">
        <v>3177777.78</v>
      </c>
      <c r="I55" s="184">
        <v>3177777.78</v>
      </c>
      <c r="J55" s="184">
        <v>3177777.78</v>
      </c>
      <c r="K55" s="184">
        <v>3177777.78</v>
      </c>
      <c r="L55" s="184">
        <v>3177777.78</v>
      </c>
      <c r="M55" s="184">
        <v>3177777.78</v>
      </c>
      <c r="N55" s="4">
        <f t="shared" si="9"/>
        <v>38133333.36000001</v>
      </c>
      <c r="P55" s="76"/>
      <c r="Q55" s="80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</row>
    <row r="56" spans="1:34" s="5" customFormat="1" ht="12" customHeight="1">
      <c r="A56" s="3" t="s">
        <v>245</v>
      </c>
      <c r="B56" s="184">
        <v>3177777.78</v>
      </c>
      <c r="C56" s="184">
        <v>3177777.78</v>
      </c>
      <c r="D56" s="184">
        <v>3177777.78</v>
      </c>
      <c r="E56" s="184">
        <v>3177777.78</v>
      </c>
      <c r="F56" s="184">
        <v>3177777.78</v>
      </c>
      <c r="G56" s="184">
        <v>3177777.78</v>
      </c>
      <c r="H56" s="184">
        <v>3177777.78</v>
      </c>
      <c r="I56" s="184">
        <v>3177777.78</v>
      </c>
      <c r="J56" s="184">
        <v>3177777.78</v>
      </c>
      <c r="K56" s="184">
        <v>3177777.78</v>
      </c>
      <c r="L56" s="184">
        <v>3177777.78</v>
      </c>
      <c r="M56" s="184">
        <v>3177777.78</v>
      </c>
      <c r="N56" s="4">
        <f t="shared" si="9"/>
        <v>38133333.36000001</v>
      </c>
      <c r="P56" s="76"/>
      <c r="Q56" s="80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</row>
    <row r="57" spans="1:34" s="5" customFormat="1" ht="12" customHeight="1">
      <c r="A57" s="3" t="s">
        <v>280</v>
      </c>
      <c r="B57" s="184">
        <v>3177777.78</v>
      </c>
      <c r="C57" s="184">
        <v>3177777.78</v>
      </c>
      <c r="D57" s="184">
        <v>3177777.78</v>
      </c>
      <c r="E57" s="184">
        <v>3177777.78</v>
      </c>
      <c r="F57" s="184">
        <v>3177777.78</v>
      </c>
      <c r="G57" s="184">
        <v>3177777.78</v>
      </c>
      <c r="H57" s="184">
        <v>3177777.78</v>
      </c>
      <c r="I57" s="184">
        <v>3177777.78</v>
      </c>
      <c r="J57" s="184">
        <v>3177777.78</v>
      </c>
      <c r="K57" s="184">
        <v>3177777.78</v>
      </c>
      <c r="L57" s="184">
        <v>3177777.78</v>
      </c>
      <c r="M57" s="184">
        <v>3177777.78</v>
      </c>
      <c r="N57" s="4">
        <f t="shared" si="9"/>
        <v>38133333.36000001</v>
      </c>
      <c r="P57" s="76"/>
      <c r="Q57" s="80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</row>
    <row r="58" spans="1:34" s="5" customFormat="1" ht="12" customHeight="1">
      <c r="A58" s="3" t="s">
        <v>247</v>
      </c>
      <c r="B58" s="184">
        <v>3177777.78</v>
      </c>
      <c r="C58" s="184">
        <v>3177777.78</v>
      </c>
      <c r="D58" s="184">
        <v>3177777.78</v>
      </c>
      <c r="E58" s="184">
        <v>3177777.78</v>
      </c>
      <c r="F58" s="184">
        <v>3177777.78</v>
      </c>
      <c r="G58" s="184">
        <v>3177777.78</v>
      </c>
      <c r="H58" s="184">
        <v>3177777.78</v>
      </c>
      <c r="I58" s="184">
        <v>3177777.78</v>
      </c>
      <c r="J58" s="184">
        <v>3177777.78</v>
      </c>
      <c r="K58" s="184">
        <v>3177777.78</v>
      </c>
      <c r="L58" s="184">
        <v>3177777.78</v>
      </c>
      <c r="M58" s="184">
        <v>3177777.78</v>
      </c>
      <c r="N58" s="4">
        <f t="shared" si="9"/>
        <v>38133333.36000001</v>
      </c>
      <c r="P58" s="76"/>
      <c r="Q58" s="80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</row>
    <row r="59" spans="1:34" s="5" customFormat="1" ht="12" customHeight="1">
      <c r="A59" s="3" t="s">
        <v>248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4">
        <f t="shared" si="9"/>
        <v>0</v>
      </c>
      <c r="P59" s="76"/>
      <c r="Q59" s="80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34" s="5" customFormat="1" ht="12" customHeight="1">
      <c r="A60" s="3" t="s">
        <v>296</v>
      </c>
      <c r="B60" s="184">
        <v>3177777.78</v>
      </c>
      <c r="C60" s="184">
        <v>3177777.78</v>
      </c>
      <c r="D60" s="184">
        <v>3177777.78</v>
      </c>
      <c r="E60" s="184">
        <v>3177777.78</v>
      </c>
      <c r="F60" s="184">
        <v>3177777.78</v>
      </c>
      <c r="G60" s="184">
        <v>3177777.78</v>
      </c>
      <c r="H60" s="184">
        <v>3177777.78</v>
      </c>
      <c r="I60" s="184">
        <v>3177777.78</v>
      </c>
      <c r="J60" s="184">
        <v>3177777.78</v>
      </c>
      <c r="K60" s="184">
        <v>3177777.78</v>
      </c>
      <c r="L60" s="184">
        <v>3177777.78</v>
      </c>
      <c r="M60" s="184">
        <v>3177777.78</v>
      </c>
      <c r="N60" s="4">
        <f t="shared" si="9"/>
        <v>38133333.36000001</v>
      </c>
      <c r="P60" s="76"/>
      <c r="Q60" s="80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s="5" customFormat="1" ht="12" customHeight="1">
      <c r="A61" s="3" t="s">
        <v>249</v>
      </c>
      <c r="B61" s="184">
        <v>3177777.78</v>
      </c>
      <c r="C61" s="184">
        <v>3177777.78</v>
      </c>
      <c r="D61" s="184">
        <v>3177777.78</v>
      </c>
      <c r="E61" s="184">
        <v>3177777.78</v>
      </c>
      <c r="F61" s="184">
        <v>3177777.78</v>
      </c>
      <c r="G61" s="184">
        <v>3177777.78</v>
      </c>
      <c r="H61" s="184">
        <v>3177777.78</v>
      </c>
      <c r="I61" s="184">
        <v>3177777.78</v>
      </c>
      <c r="J61" s="184">
        <v>3177777.78</v>
      </c>
      <c r="K61" s="184">
        <v>3177777.78</v>
      </c>
      <c r="L61" s="184">
        <v>3177777.78</v>
      </c>
      <c r="M61" s="184">
        <v>3177777.78</v>
      </c>
      <c r="N61" s="4">
        <f t="shared" si="9"/>
        <v>38133333.36000001</v>
      </c>
      <c r="P61" s="76"/>
      <c r="Q61" s="80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</row>
    <row r="62" spans="1:34" s="5" customFormat="1" ht="12">
      <c r="A62" s="3" t="s">
        <v>250</v>
      </c>
      <c r="B62" s="184">
        <v>3177777.78</v>
      </c>
      <c r="C62" s="184">
        <v>3177777.78</v>
      </c>
      <c r="D62" s="184">
        <v>3177777.78</v>
      </c>
      <c r="E62" s="184">
        <v>3177777.78</v>
      </c>
      <c r="F62" s="184">
        <v>3177777.78</v>
      </c>
      <c r="G62" s="184">
        <v>3177777.78</v>
      </c>
      <c r="H62" s="184">
        <v>3177777.78</v>
      </c>
      <c r="I62" s="184">
        <v>3177777.78</v>
      </c>
      <c r="J62" s="184">
        <v>3177777.78</v>
      </c>
      <c r="K62" s="184">
        <v>3177777.78</v>
      </c>
      <c r="L62" s="184">
        <v>3177777.78</v>
      </c>
      <c r="M62" s="184">
        <v>3177777.78</v>
      </c>
      <c r="N62" s="4">
        <f t="shared" si="9"/>
        <v>38133333.36000001</v>
      </c>
      <c r="P62" s="76"/>
      <c r="Q62" s="80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</row>
    <row r="63" spans="1:34" s="5" customFormat="1" ht="12" customHeight="1">
      <c r="A63" s="3" t="s">
        <v>251</v>
      </c>
      <c r="B63" s="184">
        <v>3177777.78</v>
      </c>
      <c r="C63" s="184">
        <v>3177777.78</v>
      </c>
      <c r="D63" s="184">
        <v>3177777.78</v>
      </c>
      <c r="E63" s="184">
        <v>3177777.78</v>
      </c>
      <c r="F63" s="184">
        <v>3177777.78</v>
      </c>
      <c r="G63" s="184">
        <v>3177777.78</v>
      </c>
      <c r="H63" s="184">
        <v>3177777.78</v>
      </c>
      <c r="I63" s="184">
        <v>3177777.78</v>
      </c>
      <c r="J63" s="184">
        <v>3177777.78</v>
      </c>
      <c r="K63" s="184">
        <v>3177777.78</v>
      </c>
      <c r="L63" s="184">
        <v>3177777.78</v>
      </c>
      <c r="M63" s="184">
        <v>3177777.78</v>
      </c>
      <c r="N63" s="4">
        <f t="shared" si="9"/>
        <v>38133333.36000001</v>
      </c>
      <c r="P63" s="76"/>
      <c r="Q63" s="80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</row>
    <row r="64" spans="1:34" s="5" customFormat="1" ht="12" customHeight="1">
      <c r="A64" s="3" t="s">
        <v>284</v>
      </c>
      <c r="B64" s="184">
        <v>3177777.78</v>
      </c>
      <c r="C64" s="184">
        <v>3177777.78</v>
      </c>
      <c r="D64" s="184">
        <v>3177777.78</v>
      </c>
      <c r="E64" s="184">
        <v>3177777.78</v>
      </c>
      <c r="F64" s="184">
        <v>3177777.78</v>
      </c>
      <c r="G64" s="184">
        <v>3177777.78</v>
      </c>
      <c r="H64" s="184">
        <v>3177777.78</v>
      </c>
      <c r="I64" s="184">
        <v>3177777.78</v>
      </c>
      <c r="J64" s="184">
        <v>3177777.78</v>
      </c>
      <c r="K64" s="184">
        <v>3177777.78</v>
      </c>
      <c r="L64" s="184">
        <v>3177777.78</v>
      </c>
      <c r="M64" s="184">
        <v>3177777.78</v>
      </c>
      <c r="N64" s="4">
        <f t="shared" si="9"/>
        <v>38133333.36000001</v>
      </c>
      <c r="P64" s="76"/>
      <c r="Q64" s="80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</row>
    <row r="65" spans="1:34" s="5" customFormat="1" ht="12" customHeight="1">
      <c r="A65" s="3" t="s">
        <v>297</v>
      </c>
      <c r="B65" s="184">
        <v>3177777.78</v>
      </c>
      <c r="C65" s="184">
        <v>3177777.78</v>
      </c>
      <c r="D65" s="184">
        <v>3177777.78</v>
      </c>
      <c r="E65" s="184">
        <v>3177777.78</v>
      </c>
      <c r="F65" s="184">
        <v>3177777.78</v>
      </c>
      <c r="G65" s="184">
        <v>3177777.78</v>
      </c>
      <c r="H65" s="184">
        <v>3177777.78</v>
      </c>
      <c r="I65" s="184">
        <v>3177777.78</v>
      </c>
      <c r="J65" s="184">
        <v>3177777.78</v>
      </c>
      <c r="K65" s="184">
        <v>3177777.78</v>
      </c>
      <c r="L65" s="184">
        <v>3177777.78</v>
      </c>
      <c r="M65" s="184">
        <v>3177777.78</v>
      </c>
      <c r="N65" s="4">
        <f t="shared" si="9"/>
        <v>38133333.36000001</v>
      </c>
      <c r="P65" s="76"/>
      <c r="Q65" s="80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1:34" s="5" customFormat="1" ht="12" customHeight="1">
      <c r="A66" s="3" t="s">
        <v>325</v>
      </c>
      <c r="B66" s="184">
        <v>3177777.78</v>
      </c>
      <c r="C66" s="184">
        <v>3177777.78</v>
      </c>
      <c r="D66" s="184">
        <v>3177777.78</v>
      </c>
      <c r="E66" s="184">
        <v>3177777.78</v>
      </c>
      <c r="F66" s="184">
        <v>3177777.78</v>
      </c>
      <c r="G66" s="184">
        <v>3177777.78</v>
      </c>
      <c r="H66" s="184">
        <v>3177777.78</v>
      </c>
      <c r="I66" s="184">
        <v>3177777.78</v>
      </c>
      <c r="J66" s="184">
        <v>3177777.78</v>
      </c>
      <c r="K66" s="184">
        <v>3177777.78</v>
      </c>
      <c r="L66" s="184">
        <v>3177777.78</v>
      </c>
      <c r="M66" s="184">
        <v>3177777.78</v>
      </c>
      <c r="N66" s="4">
        <f t="shared" si="9"/>
        <v>38133333.36000001</v>
      </c>
      <c r="P66" s="76"/>
      <c r="Q66" s="80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</row>
    <row r="67" spans="1:34" s="5" customFormat="1" ht="12" customHeight="1">
      <c r="A67" s="3" t="s">
        <v>326</v>
      </c>
      <c r="B67" s="184">
        <v>3177777.78</v>
      </c>
      <c r="C67" s="184">
        <v>3177777.78</v>
      </c>
      <c r="D67" s="184">
        <v>3177777.78</v>
      </c>
      <c r="E67" s="184">
        <v>3177777.78</v>
      </c>
      <c r="F67" s="184">
        <v>3177777.78</v>
      </c>
      <c r="G67" s="184">
        <v>3177777.78</v>
      </c>
      <c r="H67" s="184">
        <v>3177777.78</v>
      </c>
      <c r="I67" s="184">
        <v>3177777.78</v>
      </c>
      <c r="J67" s="184">
        <v>3177777.78</v>
      </c>
      <c r="K67" s="184">
        <v>3177777.78</v>
      </c>
      <c r="L67" s="184">
        <v>3177777.78</v>
      </c>
      <c r="M67" s="184">
        <v>3177777.78</v>
      </c>
      <c r="N67" s="4">
        <f t="shared" si="9"/>
        <v>38133333.36000001</v>
      </c>
      <c r="P67" s="76"/>
      <c r="Q67" s="80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</row>
    <row r="68" spans="1:34" s="154" customFormat="1" ht="12" customHeight="1">
      <c r="A68" s="168" t="s">
        <v>235</v>
      </c>
      <c r="B68" s="137">
        <f>B69+B77+B81+B87+B90+B91+B93+B96+B98+B99+B104+B107+B108+B110+B114+B112</f>
        <v>1925000</v>
      </c>
      <c r="C68" s="137">
        <f aca="true" t="shared" si="10" ref="C68:M68">C69+C77+C81+C87+C90+C91+C93+C96+C98+C99+C104+C107+C108+C110+C114+C112</f>
        <v>1925000</v>
      </c>
      <c r="D68" s="137">
        <f t="shared" si="10"/>
        <v>1925000</v>
      </c>
      <c r="E68" s="137">
        <f t="shared" si="10"/>
        <v>1925000</v>
      </c>
      <c r="F68" s="137">
        <f t="shared" si="10"/>
        <v>1925000</v>
      </c>
      <c r="G68" s="137">
        <f t="shared" si="10"/>
        <v>1925000</v>
      </c>
      <c r="H68" s="137">
        <f t="shared" si="10"/>
        <v>1925000</v>
      </c>
      <c r="I68" s="137">
        <f t="shared" si="10"/>
        <v>1925000</v>
      </c>
      <c r="J68" s="137">
        <f t="shared" si="10"/>
        <v>1925000</v>
      </c>
      <c r="K68" s="137">
        <f t="shared" si="10"/>
        <v>1925000</v>
      </c>
      <c r="L68" s="137">
        <f t="shared" si="10"/>
        <v>1925000</v>
      </c>
      <c r="M68" s="137">
        <f t="shared" si="10"/>
        <v>1925000</v>
      </c>
      <c r="N68" s="16">
        <f>SUM(B68:M68)</f>
        <v>23100000</v>
      </c>
      <c r="O68" s="154">
        <f>N45/12</f>
        <v>59125000.04</v>
      </c>
      <c r="P68" s="155"/>
      <c r="Q68" s="156"/>
      <c r="R68" s="157"/>
      <c r="S68" s="157">
        <f>N68</f>
        <v>23100000</v>
      </c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</row>
    <row r="69" spans="1:34" s="236" customFormat="1" ht="12" customHeight="1">
      <c r="A69" s="15" t="s">
        <v>283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6">
        <f aca="true" t="shared" si="11" ref="N69:N77">SUM(B69:M69)</f>
        <v>0</v>
      </c>
      <c r="O69" s="236">
        <f>N45*10%</f>
        <v>70950000.04800001</v>
      </c>
      <c r="P69" s="256"/>
      <c r="Q69" s="237"/>
      <c r="R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</row>
    <row r="70" spans="1:34" s="236" customFormat="1" ht="12" customHeight="1" hidden="1">
      <c r="A70" s="15" t="s">
        <v>673</v>
      </c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6">
        <f t="shared" si="11"/>
        <v>0</v>
      </c>
      <c r="P70" s="256"/>
      <c r="Q70" s="237"/>
      <c r="R70" s="238"/>
      <c r="T70" s="238"/>
      <c r="U70" s="238"/>
      <c r="V70" s="238"/>
      <c r="W70" s="238"/>
      <c r="X70" s="238"/>
      <c r="Y70" s="238"/>
      <c r="Z70" s="238"/>
      <c r="AA70" s="238"/>
      <c r="AB70" s="238"/>
      <c r="AC70" s="238"/>
      <c r="AD70" s="238"/>
      <c r="AE70" s="238"/>
      <c r="AF70" s="238"/>
      <c r="AG70" s="238"/>
      <c r="AH70" s="238"/>
    </row>
    <row r="71" spans="1:34" s="236" customFormat="1" ht="12" customHeight="1" hidden="1">
      <c r="A71" s="15" t="s">
        <v>674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6">
        <f t="shared" si="11"/>
        <v>0</v>
      </c>
      <c r="O71" s="236">
        <f>N47*10%</f>
        <v>3813333.336000001</v>
      </c>
      <c r="P71" s="256"/>
      <c r="Q71" s="237"/>
      <c r="R71" s="238"/>
      <c r="T71" s="238"/>
      <c r="U71" s="238"/>
      <c r="V71" s="238"/>
      <c r="W71" s="238"/>
      <c r="X71" s="238"/>
      <c r="Y71" s="238"/>
      <c r="Z71" s="238"/>
      <c r="AA71" s="238"/>
      <c r="AB71" s="238"/>
      <c r="AC71" s="238"/>
      <c r="AD71" s="238"/>
      <c r="AE71" s="238"/>
      <c r="AF71" s="238"/>
      <c r="AG71" s="238"/>
      <c r="AH71" s="238"/>
    </row>
    <row r="72" spans="1:34" s="236" customFormat="1" ht="12" customHeight="1" hidden="1">
      <c r="A72" s="15" t="s">
        <v>955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6">
        <f t="shared" si="11"/>
        <v>0</v>
      </c>
      <c r="P72" s="256"/>
      <c r="Q72" s="237"/>
      <c r="R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8"/>
      <c r="AF72" s="238"/>
      <c r="AG72" s="238"/>
      <c r="AH72" s="238"/>
    </row>
    <row r="73" spans="1:34" s="236" customFormat="1" ht="12" customHeight="1" hidden="1">
      <c r="A73" s="15" t="s">
        <v>677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6">
        <f t="shared" si="11"/>
        <v>0</v>
      </c>
      <c r="P73" s="256"/>
      <c r="Q73" s="237"/>
      <c r="R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</row>
    <row r="74" spans="1:34" s="236" customFormat="1" ht="12" customHeight="1" hidden="1">
      <c r="A74" s="15" t="s">
        <v>678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6">
        <f t="shared" si="11"/>
        <v>0</v>
      </c>
      <c r="P74" s="256"/>
      <c r="Q74" s="237"/>
      <c r="R74" s="238"/>
      <c r="T74" s="238"/>
      <c r="U74" s="238"/>
      <c r="V74" s="238"/>
      <c r="W74" s="238"/>
      <c r="X74" s="238"/>
      <c r="Y74" s="238"/>
      <c r="Z74" s="238"/>
      <c r="AA74" s="238"/>
      <c r="AB74" s="238"/>
      <c r="AC74" s="238"/>
      <c r="AD74" s="238"/>
      <c r="AE74" s="238"/>
      <c r="AF74" s="238"/>
      <c r="AG74" s="238"/>
      <c r="AH74" s="238"/>
    </row>
    <row r="75" spans="1:34" s="236" customFormat="1" ht="12" customHeight="1" hidden="1">
      <c r="A75" s="15" t="s">
        <v>679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6">
        <f t="shared" si="11"/>
        <v>0</v>
      </c>
      <c r="P75" s="256"/>
      <c r="Q75" s="237"/>
      <c r="R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</row>
    <row r="76" spans="1:34" s="236" customFormat="1" ht="12" customHeight="1" hidden="1">
      <c r="A76" s="15" t="s">
        <v>680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6">
        <f t="shared" si="11"/>
        <v>0</v>
      </c>
      <c r="P76" s="256"/>
      <c r="Q76" s="237"/>
      <c r="R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</row>
    <row r="77" spans="1:34" s="236" customFormat="1" ht="12" customHeight="1">
      <c r="A77" s="15" t="s">
        <v>282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6">
        <f t="shared" si="11"/>
        <v>0</v>
      </c>
      <c r="O77" s="236">
        <f>M45*10%</f>
        <v>5912500.004000002</v>
      </c>
      <c r="P77" s="256"/>
      <c r="Q77" s="237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</row>
    <row r="78" spans="1:34" s="236" customFormat="1" ht="12" customHeight="1" hidden="1">
      <c r="A78" s="15" t="s">
        <v>676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6">
        <f aca="true" t="shared" si="12" ref="N78:N109">SUM(B78:M78)</f>
        <v>0</v>
      </c>
      <c r="O78" s="256">
        <f>M45+O77</f>
        <v>65037500.044000015</v>
      </c>
      <c r="P78" s="256"/>
      <c r="Q78" s="237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</row>
    <row r="79" spans="1:34" s="236" customFormat="1" ht="12" customHeight="1" hidden="1">
      <c r="A79" s="15" t="s">
        <v>791</v>
      </c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6">
        <f t="shared" si="12"/>
        <v>0</v>
      </c>
      <c r="P79" s="256"/>
      <c r="Q79" s="237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</row>
    <row r="80" spans="1:34" s="236" customFormat="1" ht="12" customHeight="1" hidden="1">
      <c r="A80" s="15" t="s">
        <v>792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6">
        <f t="shared" si="12"/>
        <v>0</v>
      </c>
      <c r="P80" s="256"/>
      <c r="Q80" s="237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</row>
    <row r="81" spans="1:34" s="236" customFormat="1" ht="12" customHeight="1">
      <c r="A81" s="15" t="s">
        <v>277</v>
      </c>
      <c r="B81" s="137">
        <f>SUM(B82:B85)</f>
        <v>245000</v>
      </c>
      <c r="C81" s="137">
        <f aca="true" t="shared" si="13" ref="C81:M81">SUM(C82:C85)</f>
        <v>245000</v>
      </c>
      <c r="D81" s="137">
        <f t="shared" si="13"/>
        <v>245000</v>
      </c>
      <c r="E81" s="137">
        <f t="shared" si="13"/>
        <v>245000</v>
      </c>
      <c r="F81" s="137">
        <f t="shared" si="13"/>
        <v>245000</v>
      </c>
      <c r="G81" s="137">
        <f t="shared" si="13"/>
        <v>245000</v>
      </c>
      <c r="H81" s="137">
        <f t="shared" si="13"/>
        <v>245000</v>
      </c>
      <c r="I81" s="137">
        <f t="shared" si="13"/>
        <v>245000</v>
      </c>
      <c r="J81" s="137">
        <f t="shared" si="13"/>
        <v>245000</v>
      </c>
      <c r="K81" s="137">
        <f t="shared" si="13"/>
        <v>245000</v>
      </c>
      <c r="L81" s="137">
        <f t="shared" si="13"/>
        <v>245000</v>
      </c>
      <c r="M81" s="137">
        <f t="shared" si="13"/>
        <v>245000</v>
      </c>
      <c r="N81" s="16">
        <f t="shared" si="12"/>
        <v>2940000</v>
      </c>
      <c r="P81" s="256"/>
      <c r="Q81" s="237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</row>
    <row r="82" spans="1:34" s="154" customFormat="1" ht="12" customHeight="1">
      <c r="A82" s="3" t="s">
        <v>997</v>
      </c>
      <c r="B82" s="136">
        <f>15000*4</f>
        <v>60000</v>
      </c>
      <c r="C82" s="136">
        <f aca="true" t="shared" si="14" ref="C82:M82">15000*4</f>
        <v>60000</v>
      </c>
      <c r="D82" s="136">
        <f t="shared" si="14"/>
        <v>60000</v>
      </c>
      <c r="E82" s="136">
        <f t="shared" si="14"/>
        <v>60000</v>
      </c>
      <c r="F82" s="136">
        <f t="shared" si="14"/>
        <v>60000</v>
      </c>
      <c r="G82" s="136">
        <f t="shared" si="14"/>
        <v>60000</v>
      </c>
      <c r="H82" s="136">
        <f t="shared" si="14"/>
        <v>60000</v>
      </c>
      <c r="I82" s="136">
        <f t="shared" si="14"/>
        <v>60000</v>
      </c>
      <c r="J82" s="136">
        <f t="shared" si="14"/>
        <v>60000</v>
      </c>
      <c r="K82" s="136">
        <f t="shared" si="14"/>
        <v>60000</v>
      </c>
      <c r="L82" s="136">
        <f t="shared" si="14"/>
        <v>60000</v>
      </c>
      <c r="M82" s="136">
        <f t="shared" si="14"/>
        <v>60000</v>
      </c>
      <c r="N82" s="4">
        <f t="shared" si="12"/>
        <v>720000</v>
      </c>
      <c r="O82" s="155">
        <f>O78-N162</f>
        <v>61224166.70800001</v>
      </c>
      <c r="P82" s="155"/>
      <c r="Q82" s="156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</row>
    <row r="83" spans="1:34" s="154" customFormat="1" ht="12" customHeight="1">
      <c r="A83" s="3" t="s">
        <v>998</v>
      </c>
      <c r="B83" s="136">
        <f>25000*3</f>
        <v>75000</v>
      </c>
      <c r="C83" s="136">
        <f aca="true" t="shared" si="15" ref="C83:M83">25000*3</f>
        <v>75000</v>
      </c>
      <c r="D83" s="136">
        <f t="shared" si="15"/>
        <v>75000</v>
      </c>
      <c r="E83" s="136">
        <f t="shared" si="15"/>
        <v>75000</v>
      </c>
      <c r="F83" s="136">
        <f t="shared" si="15"/>
        <v>75000</v>
      </c>
      <c r="G83" s="136">
        <f t="shared" si="15"/>
        <v>75000</v>
      </c>
      <c r="H83" s="136">
        <f t="shared" si="15"/>
        <v>75000</v>
      </c>
      <c r="I83" s="136">
        <f t="shared" si="15"/>
        <v>75000</v>
      </c>
      <c r="J83" s="136">
        <f t="shared" si="15"/>
        <v>75000</v>
      </c>
      <c r="K83" s="136">
        <f t="shared" si="15"/>
        <v>75000</v>
      </c>
      <c r="L83" s="136">
        <f t="shared" si="15"/>
        <v>75000</v>
      </c>
      <c r="M83" s="136">
        <f t="shared" si="15"/>
        <v>75000</v>
      </c>
      <c r="N83" s="4">
        <f t="shared" si="12"/>
        <v>900000</v>
      </c>
      <c r="P83" s="155"/>
      <c r="Q83" s="156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</row>
    <row r="84" spans="1:34" s="154" customFormat="1" ht="12" customHeight="1">
      <c r="A84" s="3" t="s">
        <v>999</v>
      </c>
      <c r="B84" s="136">
        <f>20000*3</f>
        <v>60000</v>
      </c>
      <c r="C84" s="136">
        <f aca="true" t="shared" si="16" ref="C84:M84">20000*3</f>
        <v>60000</v>
      </c>
      <c r="D84" s="136">
        <f t="shared" si="16"/>
        <v>60000</v>
      </c>
      <c r="E84" s="136">
        <f t="shared" si="16"/>
        <v>60000</v>
      </c>
      <c r="F84" s="136">
        <f t="shared" si="16"/>
        <v>60000</v>
      </c>
      <c r="G84" s="136">
        <f t="shared" si="16"/>
        <v>60000</v>
      </c>
      <c r="H84" s="136">
        <f t="shared" si="16"/>
        <v>60000</v>
      </c>
      <c r="I84" s="136">
        <f t="shared" si="16"/>
        <v>60000</v>
      </c>
      <c r="J84" s="136">
        <f t="shared" si="16"/>
        <v>60000</v>
      </c>
      <c r="K84" s="136">
        <f t="shared" si="16"/>
        <v>60000</v>
      </c>
      <c r="L84" s="136">
        <f t="shared" si="16"/>
        <v>60000</v>
      </c>
      <c r="M84" s="136">
        <f t="shared" si="16"/>
        <v>60000</v>
      </c>
      <c r="N84" s="4">
        <f t="shared" si="12"/>
        <v>720000</v>
      </c>
      <c r="P84" s="155"/>
      <c r="Q84" s="156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</row>
    <row r="85" spans="1:34" s="154" customFormat="1" ht="12" customHeight="1">
      <c r="A85" s="3" t="s">
        <v>1000</v>
      </c>
      <c r="B85" s="136">
        <f>25000*2</f>
        <v>50000</v>
      </c>
      <c r="C85" s="136">
        <f aca="true" t="shared" si="17" ref="C85:M85">25000*2</f>
        <v>50000</v>
      </c>
      <c r="D85" s="136">
        <f t="shared" si="17"/>
        <v>50000</v>
      </c>
      <c r="E85" s="136">
        <f t="shared" si="17"/>
        <v>50000</v>
      </c>
      <c r="F85" s="136">
        <f t="shared" si="17"/>
        <v>50000</v>
      </c>
      <c r="G85" s="136">
        <f t="shared" si="17"/>
        <v>50000</v>
      </c>
      <c r="H85" s="136">
        <f t="shared" si="17"/>
        <v>50000</v>
      </c>
      <c r="I85" s="136">
        <f t="shared" si="17"/>
        <v>50000</v>
      </c>
      <c r="J85" s="136">
        <f t="shared" si="17"/>
        <v>50000</v>
      </c>
      <c r="K85" s="136">
        <f t="shared" si="17"/>
        <v>50000</v>
      </c>
      <c r="L85" s="136">
        <f t="shared" si="17"/>
        <v>50000</v>
      </c>
      <c r="M85" s="136">
        <f t="shared" si="17"/>
        <v>50000</v>
      </c>
      <c r="N85" s="4">
        <f t="shared" si="12"/>
        <v>600000</v>
      </c>
      <c r="P85" s="155"/>
      <c r="Q85" s="156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</row>
    <row r="86" spans="1:34" s="154" customFormat="1" ht="12" customHeight="1">
      <c r="A86" s="3"/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4"/>
      <c r="P86" s="155"/>
      <c r="Q86" s="156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</row>
    <row r="87" spans="1:34" s="236" customFormat="1" ht="12" customHeight="1">
      <c r="A87" s="15" t="s">
        <v>240</v>
      </c>
      <c r="B87" s="137">
        <f>SUM(B88:B89)</f>
        <v>210000</v>
      </c>
      <c r="C87" s="137">
        <f>SUM(C88:C89)</f>
        <v>210000</v>
      </c>
      <c r="D87" s="137">
        <f>SUM(D88:D89)</f>
        <v>210000</v>
      </c>
      <c r="E87" s="137">
        <f aca="true" t="shared" si="18" ref="E87:M87">SUM(E88:E89)</f>
        <v>210000</v>
      </c>
      <c r="F87" s="137">
        <f t="shared" si="18"/>
        <v>210000</v>
      </c>
      <c r="G87" s="137">
        <f t="shared" si="18"/>
        <v>210000</v>
      </c>
      <c r="H87" s="137">
        <f t="shared" si="18"/>
        <v>210000</v>
      </c>
      <c r="I87" s="137">
        <f t="shared" si="18"/>
        <v>210000</v>
      </c>
      <c r="J87" s="137">
        <f t="shared" si="18"/>
        <v>210000</v>
      </c>
      <c r="K87" s="137">
        <f t="shared" si="18"/>
        <v>210000</v>
      </c>
      <c r="L87" s="137">
        <f t="shared" si="18"/>
        <v>210000</v>
      </c>
      <c r="M87" s="137">
        <f t="shared" si="18"/>
        <v>210000</v>
      </c>
      <c r="N87" s="16">
        <f t="shared" si="12"/>
        <v>2520000</v>
      </c>
      <c r="P87" s="256"/>
      <c r="Q87" s="237"/>
      <c r="R87" s="238"/>
      <c r="S87" s="238"/>
      <c r="T87" s="238"/>
      <c r="U87" s="238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</row>
    <row r="88" spans="1:34" s="154" customFormat="1" ht="12" customHeight="1">
      <c r="A88" s="3" t="s">
        <v>995</v>
      </c>
      <c r="B88" s="136">
        <f>70000*2</f>
        <v>140000</v>
      </c>
      <c r="C88" s="136">
        <f aca="true" t="shared" si="19" ref="C88:M88">70000*2</f>
        <v>140000</v>
      </c>
      <c r="D88" s="136">
        <f t="shared" si="19"/>
        <v>140000</v>
      </c>
      <c r="E88" s="136">
        <f t="shared" si="19"/>
        <v>140000</v>
      </c>
      <c r="F88" s="136">
        <f t="shared" si="19"/>
        <v>140000</v>
      </c>
      <c r="G88" s="136">
        <f t="shared" si="19"/>
        <v>140000</v>
      </c>
      <c r="H88" s="136">
        <f t="shared" si="19"/>
        <v>140000</v>
      </c>
      <c r="I88" s="136">
        <f t="shared" si="19"/>
        <v>140000</v>
      </c>
      <c r="J88" s="136">
        <f t="shared" si="19"/>
        <v>140000</v>
      </c>
      <c r="K88" s="136">
        <f t="shared" si="19"/>
        <v>140000</v>
      </c>
      <c r="L88" s="136">
        <f t="shared" si="19"/>
        <v>140000</v>
      </c>
      <c r="M88" s="136">
        <f t="shared" si="19"/>
        <v>140000</v>
      </c>
      <c r="N88" s="4">
        <f t="shared" si="12"/>
        <v>1680000</v>
      </c>
      <c r="P88" s="155"/>
      <c r="Q88" s="156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</row>
    <row r="89" spans="1:34" s="154" customFormat="1" ht="12" customHeight="1">
      <c r="A89" s="3" t="s">
        <v>996</v>
      </c>
      <c r="B89" s="136">
        <f>35000*2</f>
        <v>70000</v>
      </c>
      <c r="C89" s="136">
        <f aca="true" t="shared" si="20" ref="C89:M89">35000*2</f>
        <v>70000</v>
      </c>
      <c r="D89" s="136">
        <f t="shared" si="20"/>
        <v>70000</v>
      </c>
      <c r="E89" s="136">
        <f t="shared" si="20"/>
        <v>70000</v>
      </c>
      <c r="F89" s="136">
        <f t="shared" si="20"/>
        <v>70000</v>
      </c>
      <c r="G89" s="136">
        <f t="shared" si="20"/>
        <v>70000</v>
      </c>
      <c r="H89" s="136">
        <f t="shared" si="20"/>
        <v>70000</v>
      </c>
      <c r="I89" s="136">
        <f t="shared" si="20"/>
        <v>70000</v>
      </c>
      <c r="J89" s="136">
        <f t="shared" si="20"/>
        <v>70000</v>
      </c>
      <c r="K89" s="136">
        <f t="shared" si="20"/>
        <v>70000</v>
      </c>
      <c r="L89" s="136">
        <f t="shared" si="20"/>
        <v>70000</v>
      </c>
      <c r="M89" s="136">
        <f t="shared" si="20"/>
        <v>70000</v>
      </c>
      <c r="N89" s="4">
        <f t="shared" si="12"/>
        <v>840000</v>
      </c>
      <c r="P89" s="155"/>
      <c r="Q89" s="156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</row>
    <row r="90" spans="1:34" s="236" customFormat="1" ht="12" customHeight="1">
      <c r="A90" s="15" t="s">
        <v>241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6">
        <f t="shared" si="12"/>
        <v>0</v>
      </c>
      <c r="P90" s="256"/>
      <c r="Q90" s="237"/>
      <c r="R90" s="238"/>
      <c r="S90" s="238"/>
      <c r="T90" s="238"/>
      <c r="U90" s="238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</row>
    <row r="91" spans="1:34" s="236" customFormat="1" ht="12" customHeight="1">
      <c r="A91" s="15" t="s">
        <v>243</v>
      </c>
      <c r="B91" s="137">
        <f>B92</f>
        <v>100000</v>
      </c>
      <c r="C91" s="137">
        <f>C92</f>
        <v>100000</v>
      </c>
      <c r="D91" s="137">
        <f>D92</f>
        <v>100000</v>
      </c>
      <c r="E91" s="137">
        <f aca="true" t="shared" si="21" ref="E91:M91">E92</f>
        <v>100000</v>
      </c>
      <c r="F91" s="137">
        <f t="shared" si="21"/>
        <v>100000</v>
      </c>
      <c r="G91" s="137">
        <f t="shared" si="21"/>
        <v>100000</v>
      </c>
      <c r="H91" s="137">
        <f t="shared" si="21"/>
        <v>100000</v>
      </c>
      <c r="I91" s="137">
        <f t="shared" si="21"/>
        <v>100000</v>
      </c>
      <c r="J91" s="137">
        <f t="shared" si="21"/>
        <v>100000</v>
      </c>
      <c r="K91" s="137">
        <f t="shared" si="21"/>
        <v>100000</v>
      </c>
      <c r="L91" s="137">
        <f t="shared" si="21"/>
        <v>100000</v>
      </c>
      <c r="M91" s="137">
        <f t="shared" si="21"/>
        <v>100000</v>
      </c>
      <c r="N91" s="16">
        <f t="shared" si="12"/>
        <v>1200000</v>
      </c>
      <c r="P91" s="256"/>
      <c r="Q91" s="237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</row>
    <row r="92" spans="1:34" s="154" customFormat="1" ht="12" customHeight="1">
      <c r="A92" s="3" t="s">
        <v>993</v>
      </c>
      <c r="B92" s="136">
        <f>50000*2</f>
        <v>100000</v>
      </c>
      <c r="C92" s="136">
        <f aca="true" t="shared" si="22" ref="C92:M92">50000*2</f>
        <v>100000</v>
      </c>
      <c r="D92" s="136">
        <f t="shared" si="22"/>
        <v>100000</v>
      </c>
      <c r="E92" s="136">
        <f t="shared" si="22"/>
        <v>100000</v>
      </c>
      <c r="F92" s="136">
        <f t="shared" si="22"/>
        <v>100000</v>
      </c>
      <c r="G92" s="136">
        <f t="shared" si="22"/>
        <v>100000</v>
      </c>
      <c r="H92" s="136">
        <f t="shared" si="22"/>
        <v>100000</v>
      </c>
      <c r="I92" s="136">
        <f t="shared" si="22"/>
        <v>100000</v>
      </c>
      <c r="J92" s="136">
        <f t="shared" si="22"/>
        <v>100000</v>
      </c>
      <c r="K92" s="136">
        <f t="shared" si="22"/>
        <v>100000</v>
      </c>
      <c r="L92" s="136">
        <f t="shared" si="22"/>
        <v>100000</v>
      </c>
      <c r="M92" s="136">
        <f t="shared" si="22"/>
        <v>100000</v>
      </c>
      <c r="N92" s="4">
        <f t="shared" si="12"/>
        <v>1200000</v>
      </c>
      <c r="P92" s="155"/>
      <c r="Q92" s="156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</row>
    <row r="93" spans="1:34" s="236" customFormat="1" ht="12" customHeight="1">
      <c r="A93" s="15" t="s">
        <v>1003</v>
      </c>
      <c r="B93" s="137">
        <f>SUM(B94:B95)</f>
        <v>360000</v>
      </c>
      <c r="C93" s="137">
        <f>SUM(C94:C95)</f>
        <v>360000</v>
      </c>
      <c r="D93" s="137">
        <f>SUM(D94:D95)</f>
        <v>360000</v>
      </c>
      <c r="E93" s="137">
        <f aca="true" t="shared" si="23" ref="E93:M93">SUM(E94:E95)</f>
        <v>360000</v>
      </c>
      <c r="F93" s="137">
        <f t="shared" si="23"/>
        <v>360000</v>
      </c>
      <c r="G93" s="137">
        <f t="shared" si="23"/>
        <v>360000</v>
      </c>
      <c r="H93" s="137">
        <f t="shared" si="23"/>
        <v>360000</v>
      </c>
      <c r="I93" s="137">
        <f t="shared" si="23"/>
        <v>360000</v>
      </c>
      <c r="J93" s="137">
        <f t="shared" si="23"/>
        <v>360000</v>
      </c>
      <c r="K93" s="137">
        <f t="shared" si="23"/>
        <v>360000</v>
      </c>
      <c r="L93" s="137">
        <f t="shared" si="23"/>
        <v>360000</v>
      </c>
      <c r="M93" s="137">
        <f t="shared" si="23"/>
        <v>360000</v>
      </c>
      <c r="N93" s="16">
        <f t="shared" si="12"/>
        <v>4320000</v>
      </c>
      <c r="P93" s="256"/>
      <c r="Q93" s="237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238"/>
      <c r="AD93" s="238"/>
      <c r="AE93" s="238"/>
      <c r="AF93" s="238"/>
      <c r="AG93" s="238"/>
      <c r="AH93" s="238"/>
    </row>
    <row r="94" spans="1:34" s="154" customFormat="1" ht="12" customHeight="1">
      <c r="A94" s="3" t="s">
        <v>1004</v>
      </c>
      <c r="B94" s="136">
        <f>100000*2</f>
        <v>200000</v>
      </c>
      <c r="C94" s="136">
        <f aca="true" t="shared" si="24" ref="C94:M94">100000*2</f>
        <v>200000</v>
      </c>
      <c r="D94" s="136">
        <f t="shared" si="24"/>
        <v>200000</v>
      </c>
      <c r="E94" s="136">
        <f t="shared" si="24"/>
        <v>200000</v>
      </c>
      <c r="F94" s="136">
        <f t="shared" si="24"/>
        <v>200000</v>
      </c>
      <c r="G94" s="136">
        <f t="shared" si="24"/>
        <v>200000</v>
      </c>
      <c r="H94" s="136">
        <f t="shared" si="24"/>
        <v>200000</v>
      </c>
      <c r="I94" s="136">
        <f t="shared" si="24"/>
        <v>200000</v>
      </c>
      <c r="J94" s="136">
        <f t="shared" si="24"/>
        <v>200000</v>
      </c>
      <c r="K94" s="136">
        <f t="shared" si="24"/>
        <v>200000</v>
      </c>
      <c r="L94" s="136">
        <f t="shared" si="24"/>
        <v>200000</v>
      </c>
      <c r="M94" s="136">
        <f t="shared" si="24"/>
        <v>200000</v>
      </c>
      <c r="N94" s="4">
        <f t="shared" si="12"/>
        <v>2400000</v>
      </c>
      <c r="P94" s="155"/>
      <c r="Q94" s="156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</row>
    <row r="95" spans="1:34" s="154" customFormat="1" ht="12" customHeight="1">
      <c r="A95" s="3" t="s">
        <v>1005</v>
      </c>
      <c r="B95" s="136">
        <f>80000*2</f>
        <v>160000</v>
      </c>
      <c r="C95" s="136">
        <f aca="true" t="shared" si="25" ref="C95:M95">80000*2</f>
        <v>160000</v>
      </c>
      <c r="D95" s="136">
        <f t="shared" si="25"/>
        <v>160000</v>
      </c>
      <c r="E95" s="136">
        <f t="shared" si="25"/>
        <v>160000</v>
      </c>
      <c r="F95" s="136">
        <f t="shared" si="25"/>
        <v>160000</v>
      </c>
      <c r="G95" s="136">
        <f t="shared" si="25"/>
        <v>160000</v>
      </c>
      <c r="H95" s="136">
        <f t="shared" si="25"/>
        <v>160000</v>
      </c>
      <c r="I95" s="136">
        <f t="shared" si="25"/>
        <v>160000</v>
      </c>
      <c r="J95" s="136">
        <f t="shared" si="25"/>
        <v>160000</v>
      </c>
      <c r="K95" s="136">
        <f t="shared" si="25"/>
        <v>160000</v>
      </c>
      <c r="L95" s="136">
        <f t="shared" si="25"/>
        <v>160000</v>
      </c>
      <c r="M95" s="136">
        <f t="shared" si="25"/>
        <v>160000</v>
      </c>
      <c r="N95" s="4">
        <f t="shared" si="12"/>
        <v>1920000</v>
      </c>
      <c r="P95" s="155"/>
      <c r="Q95" s="156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</row>
    <row r="96" spans="1:34" s="236" customFormat="1" ht="12" customHeight="1">
      <c r="A96" s="15" t="s">
        <v>245</v>
      </c>
      <c r="B96" s="137">
        <f>B97</f>
        <v>200000</v>
      </c>
      <c r="C96" s="137">
        <f>C97</f>
        <v>200000</v>
      </c>
      <c r="D96" s="137">
        <f>D97</f>
        <v>200000</v>
      </c>
      <c r="E96" s="137">
        <f aca="true" t="shared" si="26" ref="E96:M96">E97</f>
        <v>200000</v>
      </c>
      <c r="F96" s="137">
        <f t="shared" si="26"/>
        <v>200000</v>
      </c>
      <c r="G96" s="137">
        <f t="shared" si="26"/>
        <v>200000</v>
      </c>
      <c r="H96" s="137">
        <f t="shared" si="26"/>
        <v>200000</v>
      </c>
      <c r="I96" s="137">
        <f t="shared" si="26"/>
        <v>200000</v>
      </c>
      <c r="J96" s="137">
        <f t="shared" si="26"/>
        <v>200000</v>
      </c>
      <c r="K96" s="137">
        <f t="shared" si="26"/>
        <v>200000</v>
      </c>
      <c r="L96" s="137">
        <f t="shared" si="26"/>
        <v>200000</v>
      </c>
      <c r="M96" s="137">
        <f t="shared" si="26"/>
        <v>200000</v>
      </c>
      <c r="N96" s="16">
        <f t="shared" si="12"/>
        <v>2400000</v>
      </c>
      <c r="P96" s="256"/>
      <c r="Q96" s="237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8"/>
      <c r="AH96" s="238"/>
    </row>
    <row r="97" spans="1:34" s="154" customFormat="1" ht="12" customHeight="1">
      <c r="A97" s="3" t="s">
        <v>1002</v>
      </c>
      <c r="B97" s="136">
        <f>100000*2</f>
        <v>200000</v>
      </c>
      <c r="C97" s="136">
        <f aca="true" t="shared" si="27" ref="C97:M97">100000*2</f>
        <v>200000</v>
      </c>
      <c r="D97" s="136">
        <f t="shared" si="27"/>
        <v>200000</v>
      </c>
      <c r="E97" s="136">
        <f t="shared" si="27"/>
        <v>200000</v>
      </c>
      <c r="F97" s="136">
        <f t="shared" si="27"/>
        <v>200000</v>
      </c>
      <c r="G97" s="136">
        <f t="shared" si="27"/>
        <v>200000</v>
      </c>
      <c r="H97" s="136">
        <f t="shared" si="27"/>
        <v>200000</v>
      </c>
      <c r="I97" s="136">
        <f t="shared" si="27"/>
        <v>200000</v>
      </c>
      <c r="J97" s="136">
        <f t="shared" si="27"/>
        <v>200000</v>
      </c>
      <c r="K97" s="136">
        <f t="shared" si="27"/>
        <v>200000</v>
      </c>
      <c r="L97" s="136">
        <f t="shared" si="27"/>
        <v>200000</v>
      </c>
      <c r="M97" s="136">
        <f t="shared" si="27"/>
        <v>200000</v>
      </c>
      <c r="N97" s="4">
        <f t="shared" si="12"/>
        <v>2400000</v>
      </c>
      <c r="P97" s="155"/>
      <c r="Q97" s="156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</row>
    <row r="98" spans="1:34" s="236" customFormat="1" ht="12" customHeight="1">
      <c r="A98" s="15" t="s">
        <v>1011</v>
      </c>
      <c r="B98" s="137">
        <f>30000*5</f>
        <v>150000</v>
      </c>
      <c r="C98" s="137">
        <f aca="true" t="shared" si="28" ref="C98:M98">30000*5</f>
        <v>150000</v>
      </c>
      <c r="D98" s="137">
        <f t="shared" si="28"/>
        <v>150000</v>
      </c>
      <c r="E98" s="137">
        <f t="shared" si="28"/>
        <v>150000</v>
      </c>
      <c r="F98" s="137">
        <f t="shared" si="28"/>
        <v>150000</v>
      </c>
      <c r="G98" s="137">
        <f t="shared" si="28"/>
        <v>150000</v>
      </c>
      <c r="H98" s="137">
        <f t="shared" si="28"/>
        <v>150000</v>
      </c>
      <c r="I98" s="137">
        <f t="shared" si="28"/>
        <v>150000</v>
      </c>
      <c r="J98" s="137">
        <f t="shared" si="28"/>
        <v>150000</v>
      </c>
      <c r="K98" s="137">
        <f t="shared" si="28"/>
        <v>150000</v>
      </c>
      <c r="L98" s="137">
        <f t="shared" si="28"/>
        <v>150000</v>
      </c>
      <c r="M98" s="137">
        <f t="shared" si="28"/>
        <v>150000</v>
      </c>
      <c r="N98" s="16">
        <f t="shared" si="12"/>
        <v>1800000</v>
      </c>
      <c r="P98" s="256"/>
      <c r="Q98" s="237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8"/>
      <c r="AH98" s="238"/>
    </row>
    <row r="99" spans="1:34" s="236" customFormat="1" ht="12" customHeight="1">
      <c r="A99" s="15" t="s">
        <v>247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6">
        <f t="shared" si="12"/>
        <v>0</v>
      </c>
      <c r="P99" s="256"/>
      <c r="Q99" s="237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8"/>
      <c r="AH99" s="238"/>
    </row>
    <row r="100" spans="1:34" s="236" customFormat="1" ht="12" customHeight="1" hidden="1">
      <c r="A100" s="15" t="s">
        <v>681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6">
        <f t="shared" si="12"/>
        <v>0</v>
      </c>
      <c r="P100" s="256"/>
      <c r="Q100" s="237"/>
      <c r="R100" s="238"/>
      <c r="S100" s="238"/>
      <c r="T100" s="238"/>
      <c r="U100" s="238"/>
      <c r="V100" s="238"/>
      <c r="W100" s="238"/>
      <c r="X100" s="238"/>
      <c r="Y100" s="238"/>
      <c r="Z100" s="238"/>
      <c r="AA100" s="238"/>
      <c r="AB100" s="238"/>
      <c r="AC100" s="238"/>
      <c r="AD100" s="238"/>
      <c r="AE100" s="238"/>
      <c r="AF100" s="238"/>
      <c r="AG100" s="238"/>
      <c r="AH100" s="238"/>
    </row>
    <row r="101" spans="1:34" s="236" customFormat="1" ht="12" customHeight="1" hidden="1">
      <c r="A101" s="15" t="s">
        <v>682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6">
        <f t="shared" si="12"/>
        <v>0</v>
      </c>
      <c r="P101" s="256"/>
      <c r="Q101" s="237"/>
      <c r="R101" s="238"/>
      <c r="S101" s="238"/>
      <c r="T101" s="238"/>
      <c r="U101" s="238"/>
      <c r="V101" s="238"/>
      <c r="W101" s="238"/>
      <c r="X101" s="238"/>
      <c r="Y101" s="238"/>
      <c r="Z101" s="238"/>
      <c r="AA101" s="238"/>
      <c r="AB101" s="238"/>
      <c r="AC101" s="238"/>
      <c r="AD101" s="238"/>
      <c r="AE101" s="238"/>
      <c r="AF101" s="238"/>
      <c r="AG101" s="238"/>
      <c r="AH101" s="238"/>
    </row>
    <row r="102" spans="1:34" s="236" customFormat="1" ht="12" customHeight="1" hidden="1">
      <c r="A102" s="15" t="s">
        <v>683</v>
      </c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6">
        <f t="shared" si="12"/>
        <v>0</v>
      </c>
      <c r="P102" s="256"/>
      <c r="Q102" s="237"/>
      <c r="R102" s="238"/>
      <c r="S102" s="238"/>
      <c r="T102" s="238"/>
      <c r="U102" s="238"/>
      <c r="V102" s="238"/>
      <c r="W102" s="238"/>
      <c r="X102" s="238"/>
      <c r="Y102" s="238"/>
      <c r="Z102" s="238"/>
      <c r="AA102" s="238"/>
      <c r="AB102" s="238"/>
      <c r="AC102" s="238"/>
      <c r="AD102" s="238"/>
      <c r="AE102" s="238"/>
      <c r="AF102" s="238"/>
      <c r="AG102" s="238"/>
      <c r="AH102" s="238"/>
    </row>
    <row r="103" spans="1:34" s="236" customFormat="1" ht="12" customHeight="1">
      <c r="A103" s="15" t="s">
        <v>296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6">
        <f t="shared" si="12"/>
        <v>0</v>
      </c>
      <c r="P103" s="256"/>
      <c r="Q103" s="237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</row>
    <row r="104" spans="1:34" s="236" customFormat="1" ht="12" customHeight="1">
      <c r="A104" s="15" t="s">
        <v>249</v>
      </c>
      <c r="B104" s="137">
        <f>SUM(B105:B106)</f>
        <v>190000</v>
      </c>
      <c r="C104" s="137">
        <f>SUM(C105:C106)</f>
        <v>190000</v>
      </c>
      <c r="D104" s="137">
        <f>SUM(D105:D106)</f>
        <v>190000</v>
      </c>
      <c r="E104" s="137">
        <f aca="true" t="shared" si="29" ref="E104:M104">SUM(E105:E106)</f>
        <v>190000</v>
      </c>
      <c r="F104" s="137">
        <f t="shared" si="29"/>
        <v>190000</v>
      </c>
      <c r="G104" s="137">
        <f t="shared" si="29"/>
        <v>190000</v>
      </c>
      <c r="H104" s="137">
        <f t="shared" si="29"/>
        <v>190000</v>
      </c>
      <c r="I104" s="137">
        <f t="shared" si="29"/>
        <v>190000</v>
      </c>
      <c r="J104" s="137">
        <f t="shared" si="29"/>
        <v>190000</v>
      </c>
      <c r="K104" s="137">
        <f t="shared" si="29"/>
        <v>190000</v>
      </c>
      <c r="L104" s="137">
        <f t="shared" si="29"/>
        <v>190000</v>
      </c>
      <c r="M104" s="137">
        <f t="shared" si="29"/>
        <v>190000</v>
      </c>
      <c r="N104" s="16">
        <f t="shared" si="12"/>
        <v>2280000</v>
      </c>
      <c r="P104" s="256"/>
      <c r="Q104" s="237"/>
      <c r="R104" s="238"/>
      <c r="S104" s="238"/>
      <c r="T104" s="238"/>
      <c r="U104" s="238"/>
      <c r="V104" s="238"/>
      <c r="W104" s="238"/>
      <c r="X104" s="238"/>
      <c r="Y104" s="238"/>
      <c r="Z104" s="238"/>
      <c r="AA104" s="238"/>
      <c r="AB104" s="238"/>
      <c r="AC104" s="238"/>
      <c r="AD104" s="238"/>
      <c r="AE104" s="238"/>
      <c r="AF104" s="238"/>
      <c r="AG104" s="238"/>
      <c r="AH104" s="238"/>
    </row>
    <row r="105" spans="1:34" s="154" customFormat="1" ht="12" customHeight="1">
      <c r="A105" s="3" t="s">
        <v>1010</v>
      </c>
      <c r="B105" s="136">
        <v>100000</v>
      </c>
      <c r="C105" s="136">
        <v>100000</v>
      </c>
      <c r="D105" s="136">
        <v>100000</v>
      </c>
      <c r="E105" s="136">
        <v>100000</v>
      </c>
      <c r="F105" s="136">
        <v>100000</v>
      </c>
      <c r="G105" s="136">
        <v>100000</v>
      </c>
      <c r="H105" s="136">
        <v>100000</v>
      </c>
      <c r="I105" s="136">
        <v>100000</v>
      </c>
      <c r="J105" s="136">
        <v>100000</v>
      </c>
      <c r="K105" s="136">
        <v>100000</v>
      </c>
      <c r="L105" s="136">
        <v>100000</v>
      </c>
      <c r="M105" s="136">
        <v>100000</v>
      </c>
      <c r="N105" s="4">
        <f t="shared" si="12"/>
        <v>1200000</v>
      </c>
      <c r="P105" s="155"/>
      <c r="Q105" s="156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</row>
    <row r="106" spans="1:34" s="154" customFormat="1" ht="12" customHeight="1">
      <c r="A106" s="3" t="s">
        <v>994</v>
      </c>
      <c r="B106" s="136">
        <v>90000</v>
      </c>
      <c r="C106" s="136">
        <v>90000</v>
      </c>
      <c r="D106" s="136">
        <v>90000</v>
      </c>
      <c r="E106" s="136">
        <v>90000</v>
      </c>
      <c r="F106" s="136">
        <v>90000</v>
      </c>
      <c r="G106" s="136">
        <v>90000</v>
      </c>
      <c r="H106" s="136">
        <v>90000</v>
      </c>
      <c r="I106" s="136">
        <v>90000</v>
      </c>
      <c r="J106" s="136">
        <v>90000</v>
      </c>
      <c r="K106" s="136">
        <v>90000</v>
      </c>
      <c r="L106" s="136">
        <v>90000</v>
      </c>
      <c r="M106" s="136">
        <v>90000</v>
      </c>
      <c r="N106" s="4">
        <f t="shared" si="12"/>
        <v>1080000</v>
      </c>
      <c r="P106" s="155"/>
      <c r="Q106" s="156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</row>
    <row r="107" spans="1:34" s="154" customFormat="1" ht="12" customHeight="1">
      <c r="A107" s="3" t="s">
        <v>250</v>
      </c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4">
        <f t="shared" si="12"/>
        <v>0</v>
      </c>
      <c r="P107" s="155"/>
      <c r="Q107" s="156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</row>
    <row r="108" spans="1:34" s="154" customFormat="1" ht="12" customHeight="1">
      <c r="A108" s="3" t="s">
        <v>284</v>
      </c>
      <c r="B108" s="136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4">
        <f t="shared" si="12"/>
        <v>0</v>
      </c>
      <c r="P108" s="155"/>
      <c r="Q108" s="156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</row>
    <row r="109" spans="1:34" s="154" customFormat="1" ht="12" customHeight="1">
      <c r="A109" s="3" t="s">
        <v>675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4">
        <f t="shared" si="12"/>
        <v>0</v>
      </c>
      <c r="P109" s="155"/>
      <c r="Q109" s="156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</row>
    <row r="110" spans="1:34" s="236" customFormat="1" ht="12" customHeight="1">
      <c r="A110" s="15" t="s">
        <v>297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6">
        <f>SUM(B110:M110)</f>
        <v>0</v>
      </c>
      <c r="P110" s="256"/>
      <c r="Q110" s="237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</row>
    <row r="111" spans="1:34" s="236" customFormat="1" ht="12" customHeight="1">
      <c r="A111" s="15" t="s">
        <v>310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6">
        <f aca="true" t="shared" si="30" ref="N111:N140">SUM(B111:M111)</f>
        <v>0</v>
      </c>
      <c r="P111" s="256"/>
      <c r="Q111" s="237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</row>
    <row r="112" spans="1:34" s="236" customFormat="1" ht="12" customHeight="1">
      <c r="A112" s="15" t="s">
        <v>326</v>
      </c>
      <c r="B112" s="137">
        <f>B113</f>
        <v>80000</v>
      </c>
      <c r="C112" s="137">
        <f aca="true" t="shared" si="31" ref="C112:M112">C113</f>
        <v>80000</v>
      </c>
      <c r="D112" s="137">
        <f t="shared" si="31"/>
        <v>80000</v>
      </c>
      <c r="E112" s="137">
        <f t="shared" si="31"/>
        <v>80000</v>
      </c>
      <c r="F112" s="137">
        <f t="shared" si="31"/>
        <v>80000</v>
      </c>
      <c r="G112" s="137">
        <f t="shared" si="31"/>
        <v>80000</v>
      </c>
      <c r="H112" s="137">
        <f t="shared" si="31"/>
        <v>80000</v>
      </c>
      <c r="I112" s="137">
        <f t="shared" si="31"/>
        <v>80000</v>
      </c>
      <c r="J112" s="137">
        <f t="shared" si="31"/>
        <v>80000</v>
      </c>
      <c r="K112" s="137">
        <f t="shared" si="31"/>
        <v>80000</v>
      </c>
      <c r="L112" s="137">
        <f t="shared" si="31"/>
        <v>80000</v>
      </c>
      <c r="M112" s="137">
        <f t="shared" si="31"/>
        <v>80000</v>
      </c>
      <c r="N112" s="16">
        <f t="shared" si="30"/>
        <v>960000</v>
      </c>
      <c r="P112" s="256"/>
      <c r="Q112" s="237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</row>
    <row r="113" spans="1:34" s="236" customFormat="1" ht="12" customHeight="1">
      <c r="A113" s="3" t="s">
        <v>1001</v>
      </c>
      <c r="B113" s="136">
        <v>80000</v>
      </c>
      <c r="C113" s="136">
        <v>80000</v>
      </c>
      <c r="D113" s="136">
        <v>80000</v>
      </c>
      <c r="E113" s="136">
        <v>80000</v>
      </c>
      <c r="F113" s="136">
        <v>80000</v>
      </c>
      <c r="G113" s="136">
        <v>80000</v>
      </c>
      <c r="H113" s="136">
        <v>80000</v>
      </c>
      <c r="I113" s="136">
        <v>80000</v>
      </c>
      <c r="J113" s="136">
        <v>80000</v>
      </c>
      <c r="K113" s="136">
        <v>80000</v>
      </c>
      <c r="L113" s="136">
        <v>80000</v>
      </c>
      <c r="M113" s="136">
        <v>80000</v>
      </c>
      <c r="N113" s="4">
        <f>SUM(B113:M113)</f>
        <v>960000</v>
      </c>
      <c r="P113" s="256"/>
      <c r="Q113" s="237"/>
      <c r="R113" s="238"/>
      <c r="S113" s="238"/>
      <c r="T113" s="238"/>
      <c r="U113" s="238"/>
      <c r="V113" s="238"/>
      <c r="W113" s="238"/>
      <c r="X113" s="238"/>
      <c r="Y113" s="238"/>
      <c r="Z113" s="238"/>
      <c r="AA113" s="238"/>
      <c r="AB113" s="238"/>
      <c r="AC113" s="238"/>
      <c r="AD113" s="238"/>
      <c r="AE113" s="238"/>
      <c r="AF113" s="238"/>
      <c r="AG113" s="238"/>
      <c r="AH113" s="238"/>
    </row>
    <row r="114" spans="1:34" s="236" customFormat="1" ht="12" customHeight="1">
      <c r="A114" s="15" t="s">
        <v>1006</v>
      </c>
      <c r="B114" s="137">
        <f>SUM(B115:B117)</f>
        <v>390000</v>
      </c>
      <c r="C114" s="137">
        <f>SUM(C115:C117)</f>
        <v>390000</v>
      </c>
      <c r="D114" s="137">
        <f>SUM(D115:D117)</f>
        <v>390000</v>
      </c>
      <c r="E114" s="137">
        <f aca="true" t="shared" si="32" ref="E114:M114">SUM(E115:E117)</f>
        <v>390000</v>
      </c>
      <c r="F114" s="137">
        <f t="shared" si="32"/>
        <v>390000</v>
      </c>
      <c r="G114" s="137">
        <f t="shared" si="32"/>
        <v>390000</v>
      </c>
      <c r="H114" s="137">
        <f t="shared" si="32"/>
        <v>390000</v>
      </c>
      <c r="I114" s="137">
        <f t="shared" si="32"/>
        <v>390000</v>
      </c>
      <c r="J114" s="137">
        <f t="shared" si="32"/>
        <v>390000</v>
      </c>
      <c r="K114" s="137">
        <f t="shared" si="32"/>
        <v>390000</v>
      </c>
      <c r="L114" s="137">
        <f t="shared" si="32"/>
        <v>390000</v>
      </c>
      <c r="M114" s="137">
        <f t="shared" si="32"/>
        <v>390000</v>
      </c>
      <c r="N114" s="16">
        <f t="shared" si="30"/>
        <v>4680000</v>
      </c>
      <c r="P114" s="256"/>
      <c r="Q114" s="237"/>
      <c r="R114" s="238"/>
      <c r="S114" s="238"/>
      <c r="T114" s="238"/>
      <c r="U114" s="238"/>
      <c r="V114" s="238"/>
      <c r="W114" s="238"/>
      <c r="X114" s="238"/>
      <c r="Y114" s="238"/>
      <c r="Z114" s="238"/>
      <c r="AA114" s="238"/>
      <c r="AB114" s="238"/>
      <c r="AC114" s="238"/>
      <c r="AD114" s="238"/>
      <c r="AE114" s="238"/>
      <c r="AF114" s="238"/>
      <c r="AG114" s="238"/>
      <c r="AH114" s="238"/>
    </row>
    <row r="115" spans="1:34" s="154" customFormat="1" ht="12" customHeight="1">
      <c r="A115" s="3" t="s">
        <v>1007</v>
      </c>
      <c r="B115" s="136">
        <v>130000</v>
      </c>
      <c r="C115" s="136">
        <v>130000</v>
      </c>
      <c r="D115" s="136">
        <v>130000</v>
      </c>
      <c r="E115" s="136">
        <v>130000</v>
      </c>
      <c r="F115" s="136">
        <v>130000</v>
      </c>
      <c r="G115" s="136">
        <v>130000</v>
      </c>
      <c r="H115" s="136">
        <v>130000</v>
      </c>
      <c r="I115" s="136">
        <v>130000</v>
      </c>
      <c r="J115" s="136">
        <v>130000</v>
      </c>
      <c r="K115" s="136">
        <v>130000</v>
      </c>
      <c r="L115" s="136">
        <v>130000</v>
      </c>
      <c r="M115" s="136">
        <v>130000</v>
      </c>
      <c r="N115" s="4">
        <f t="shared" si="30"/>
        <v>1560000</v>
      </c>
      <c r="P115" s="155"/>
      <c r="Q115" s="156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</row>
    <row r="116" spans="1:34" s="154" customFormat="1" ht="12" customHeight="1">
      <c r="A116" s="3" t="s">
        <v>1008</v>
      </c>
      <c r="B116" s="136">
        <v>130000</v>
      </c>
      <c r="C116" s="136">
        <v>130000</v>
      </c>
      <c r="D116" s="136">
        <v>130000</v>
      </c>
      <c r="E116" s="136">
        <v>130000</v>
      </c>
      <c r="F116" s="136">
        <v>130000</v>
      </c>
      <c r="G116" s="136">
        <v>130000</v>
      </c>
      <c r="H116" s="136">
        <v>130000</v>
      </c>
      <c r="I116" s="136">
        <v>130000</v>
      </c>
      <c r="J116" s="136">
        <v>130000</v>
      </c>
      <c r="K116" s="136">
        <v>130000</v>
      </c>
      <c r="L116" s="136">
        <v>130000</v>
      </c>
      <c r="M116" s="136">
        <v>130000</v>
      </c>
      <c r="N116" s="4">
        <f t="shared" si="30"/>
        <v>1560000</v>
      </c>
      <c r="P116" s="155"/>
      <c r="Q116" s="156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</row>
    <row r="117" spans="1:34" s="154" customFormat="1" ht="12" customHeight="1">
      <c r="A117" s="3" t="s">
        <v>1009</v>
      </c>
      <c r="B117" s="136">
        <v>130000</v>
      </c>
      <c r="C117" s="136">
        <v>130000</v>
      </c>
      <c r="D117" s="136">
        <v>130000</v>
      </c>
      <c r="E117" s="136">
        <v>130000</v>
      </c>
      <c r="F117" s="136">
        <v>130000</v>
      </c>
      <c r="G117" s="136">
        <v>130000</v>
      </c>
      <c r="H117" s="136">
        <v>130000</v>
      </c>
      <c r="I117" s="136">
        <v>130000</v>
      </c>
      <c r="J117" s="136">
        <v>130000</v>
      </c>
      <c r="K117" s="136">
        <v>130000</v>
      </c>
      <c r="L117" s="136">
        <v>130000</v>
      </c>
      <c r="M117" s="136">
        <v>130000</v>
      </c>
      <c r="N117" s="4">
        <f t="shared" si="30"/>
        <v>1560000</v>
      </c>
      <c r="P117" s="155"/>
      <c r="Q117" s="156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</row>
    <row r="118" spans="1:34" s="6" customFormat="1" ht="12" customHeight="1">
      <c r="A118" s="15" t="s">
        <v>211</v>
      </c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6">
        <f t="shared" si="30"/>
        <v>0</v>
      </c>
      <c r="P118" s="65">
        <f>SUM(B118:I118)</f>
        <v>0</v>
      </c>
      <c r="Q118" s="81"/>
      <c r="R118" s="115">
        <f>'[1]Ejecución Indotel'!$BL$25</f>
        <v>2083</v>
      </c>
      <c r="S118" s="115">
        <f>N118</f>
        <v>0</v>
      </c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</row>
    <row r="119" spans="1:34" s="6" customFormat="1" ht="12" customHeight="1">
      <c r="A119" s="168" t="s">
        <v>259</v>
      </c>
      <c r="B119" s="137">
        <f>SUM(B120:B140)</f>
        <v>0</v>
      </c>
      <c r="C119" s="137">
        <f aca="true" t="shared" si="33" ref="C119:M119">SUM(C120:C140)</f>
        <v>0</v>
      </c>
      <c r="D119" s="137">
        <f t="shared" si="33"/>
        <v>0</v>
      </c>
      <c r="E119" s="137">
        <f t="shared" si="33"/>
        <v>0</v>
      </c>
      <c r="F119" s="137">
        <f t="shared" si="33"/>
        <v>0</v>
      </c>
      <c r="G119" s="137">
        <f t="shared" si="33"/>
        <v>0</v>
      </c>
      <c r="H119" s="137">
        <f t="shared" si="33"/>
        <v>0</v>
      </c>
      <c r="I119" s="137">
        <f t="shared" si="33"/>
        <v>0</v>
      </c>
      <c r="J119" s="137">
        <f t="shared" si="33"/>
        <v>0</v>
      </c>
      <c r="K119" s="137">
        <f t="shared" si="33"/>
        <v>0</v>
      </c>
      <c r="L119" s="137">
        <f t="shared" si="33"/>
        <v>0</v>
      </c>
      <c r="M119" s="137">
        <f t="shared" si="33"/>
        <v>0</v>
      </c>
      <c r="N119" s="16">
        <f t="shared" si="30"/>
        <v>0</v>
      </c>
      <c r="P119" s="65"/>
      <c r="Q119" s="81"/>
      <c r="R119" s="115"/>
      <c r="S119" s="115">
        <v>0</v>
      </c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</row>
    <row r="120" spans="1:34" s="5" customFormat="1" ht="12" hidden="1">
      <c r="A120" s="3" t="s">
        <v>283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4">
        <f t="shared" si="30"/>
        <v>0</v>
      </c>
      <c r="P120" s="76"/>
      <c r="Q120" s="80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</row>
    <row r="121" spans="1:34" s="5" customFormat="1" ht="12" customHeight="1" hidden="1">
      <c r="A121" s="3" t="s">
        <v>282</v>
      </c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4">
        <f t="shared" si="30"/>
        <v>0</v>
      </c>
      <c r="P121" s="76"/>
      <c r="Q121" s="80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</row>
    <row r="122" spans="1:34" s="5" customFormat="1" ht="12" customHeight="1" hidden="1">
      <c r="A122" s="3" t="s">
        <v>281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4">
        <f t="shared" si="30"/>
        <v>0</v>
      </c>
      <c r="P122" s="76"/>
      <c r="Q122" s="80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</row>
    <row r="123" spans="1:34" s="5" customFormat="1" ht="12" customHeight="1" hidden="1">
      <c r="A123" s="3" t="s">
        <v>239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4">
        <f t="shared" si="30"/>
        <v>0</v>
      </c>
      <c r="P123" s="76"/>
      <c r="Q123" s="80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</row>
    <row r="124" spans="1:34" s="5" customFormat="1" ht="12" customHeight="1" hidden="1">
      <c r="A124" s="3" t="s">
        <v>240</v>
      </c>
      <c r="B124" s="136"/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4">
        <f t="shared" si="30"/>
        <v>0</v>
      </c>
      <c r="P124" s="76"/>
      <c r="Q124" s="80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</row>
    <row r="125" spans="1:34" s="5" customFormat="1" ht="12" hidden="1">
      <c r="A125" s="3" t="s">
        <v>241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4">
        <f t="shared" si="30"/>
        <v>0</v>
      </c>
      <c r="P125" s="76"/>
      <c r="Q125" s="80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</row>
    <row r="126" spans="1:34" s="5" customFormat="1" ht="12" customHeight="1" hidden="1">
      <c r="A126" s="3" t="s">
        <v>242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4">
        <f t="shared" si="30"/>
        <v>0</v>
      </c>
      <c r="P126" s="76"/>
      <c r="Q126" s="80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</row>
    <row r="127" spans="1:34" s="5" customFormat="1" ht="12" customHeight="1" hidden="1">
      <c r="A127" s="3" t="s">
        <v>243</v>
      </c>
      <c r="B127" s="136"/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4">
        <f t="shared" si="30"/>
        <v>0</v>
      </c>
      <c r="P127" s="76"/>
      <c r="Q127" s="80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</row>
    <row r="128" spans="1:34" s="5" customFormat="1" ht="12" customHeight="1" hidden="1">
      <c r="A128" s="3" t="s">
        <v>244</v>
      </c>
      <c r="B128" s="136"/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4">
        <f t="shared" si="30"/>
        <v>0</v>
      </c>
      <c r="P128" s="76"/>
      <c r="Q128" s="80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</row>
    <row r="129" spans="1:34" s="5" customFormat="1" ht="12" customHeight="1" hidden="1">
      <c r="A129" s="3" t="s">
        <v>245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4">
        <f t="shared" si="30"/>
        <v>0</v>
      </c>
      <c r="P129" s="76"/>
      <c r="Q129" s="80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</row>
    <row r="130" spans="1:34" s="5" customFormat="1" ht="12" customHeight="1" hidden="1">
      <c r="A130" s="3" t="s">
        <v>280</v>
      </c>
      <c r="B130" s="136"/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4">
        <f t="shared" si="30"/>
        <v>0</v>
      </c>
      <c r="P130" s="76"/>
      <c r="Q130" s="80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</row>
    <row r="131" spans="1:34" s="5" customFormat="1" ht="12" customHeight="1" hidden="1">
      <c r="A131" s="3" t="s">
        <v>247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4">
        <f t="shared" si="30"/>
        <v>0</v>
      </c>
      <c r="P131" s="76"/>
      <c r="Q131" s="80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</row>
    <row r="132" spans="1:34" s="5" customFormat="1" ht="12" customHeight="1" hidden="1">
      <c r="A132" s="3" t="s">
        <v>248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4">
        <f t="shared" si="30"/>
        <v>0</v>
      </c>
      <c r="P132" s="76"/>
      <c r="Q132" s="80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</row>
    <row r="133" spans="1:34" s="5" customFormat="1" ht="12" customHeight="1" hidden="1">
      <c r="A133" s="3" t="s">
        <v>296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4">
        <f t="shared" si="30"/>
        <v>0</v>
      </c>
      <c r="P133" s="76"/>
      <c r="Q133" s="80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</row>
    <row r="134" spans="1:34" s="5" customFormat="1" ht="12" customHeight="1" hidden="1">
      <c r="A134" s="3" t="s">
        <v>249</v>
      </c>
      <c r="B134" s="136"/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4">
        <f t="shared" si="30"/>
        <v>0</v>
      </c>
      <c r="P134" s="76"/>
      <c r="Q134" s="80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</row>
    <row r="135" spans="1:34" s="5" customFormat="1" ht="12" hidden="1">
      <c r="A135" s="3" t="s">
        <v>250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4">
        <f t="shared" si="30"/>
        <v>0</v>
      </c>
      <c r="P135" s="76"/>
      <c r="Q135" s="80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</row>
    <row r="136" spans="1:34" s="5" customFormat="1" ht="12" customHeight="1" hidden="1">
      <c r="A136" s="3" t="s">
        <v>251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4">
        <f t="shared" si="30"/>
        <v>0</v>
      </c>
      <c r="P136" s="76"/>
      <c r="Q136" s="80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</row>
    <row r="137" spans="1:34" s="5" customFormat="1" ht="12" customHeight="1" hidden="1">
      <c r="A137" s="3" t="s">
        <v>284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4">
        <f t="shared" si="30"/>
        <v>0</v>
      </c>
      <c r="P137" s="76"/>
      <c r="Q137" s="80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</row>
    <row r="138" spans="1:34" s="5" customFormat="1" ht="12" customHeight="1" hidden="1">
      <c r="A138" s="3" t="s">
        <v>297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4">
        <f t="shared" si="30"/>
        <v>0</v>
      </c>
      <c r="P138" s="76"/>
      <c r="Q138" s="80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</row>
    <row r="139" spans="1:34" s="5" customFormat="1" ht="12" customHeight="1" hidden="1">
      <c r="A139" s="3" t="s">
        <v>325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4">
        <f t="shared" si="30"/>
        <v>0</v>
      </c>
      <c r="P139" s="76"/>
      <c r="Q139" s="80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</row>
    <row r="140" spans="1:34" s="5" customFormat="1" ht="12" customHeight="1" hidden="1">
      <c r="A140" s="3" t="s">
        <v>326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4">
        <f t="shared" si="30"/>
        <v>0</v>
      </c>
      <c r="P140" s="76"/>
      <c r="Q140" s="80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</row>
    <row r="141" spans="1:34" s="6" customFormat="1" ht="12" customHeight="1">
      <c r="A141" s="15" t="s">
        <v>167</v>
      </c>
      <c r="B141" s="137">
        <f>SUM(B142:B159)</f>
        <v>3585000</v>
      </c>
      <c r="C141" s="137">
        <f aca="true" t="shared" si="34" ref="C141:N141">SUM(C142:C159)</f>
        <v>3585000</v>
      </c>
      <c r="D141" s="137">
        <f t="shared" si="34"/>
        <v>3585000</v>
      </c>
      <c r="E141" s="137">
        <f t="shared" si="34"/>
        <v>3585000</v>
      </c>
      <c r="F141" s="137">
        <f t="shared" si="34"/>
        <v>3585000</v>
      </c>
      <c r="G141" s="137">
        <f t="shared" si="34"/>
        <v>3585000</v>
      </c>
      <c r="H141" s="137">
        <f t="shared" si="34"/>
        <v>3585000</v>
      </c>
      <c r="I141" s="137">
        <f t="shared" si="34"/>
        <v>3585000</v>
      </c>
      <c r="J141" s="137">
        <f t="shared" si="34"/>
        <v>3585000</v>
      </c>
      <c r="K141" s="137">
        <f t="shared" si="34"/>
        <v>3585000</v>
      </c>
      <c r="L141" s="137">
        <f t="shared" si="34"/>
        <v>3585000</v>
      </c>
      <c r="M141" s="137">
        <f t="shared" si="34"/>
        <v>3585000</v>
      </c>
      <c r="N141" s="16">
        <f t="shared" si="34"/>
        <v>43020000</v>
      </c>
      <c r="O141" s="16">
        <f>SUM(O142:O156)</f>
        <v>0</v>
      </c>
      <c r="P141" s="16">
        <f>SUM(P142:P156)</f>
        <v>0</v>
      </c>
      <c r="Q141" s="16">
        <f>SUM(Q142:Q156)</f>
        <v>0</v>
      </c>
      <c r="R141" s="115">
        <f>'[1]Ejecución Indotel'!$BL$44</f>
        <v>1260380</v>
      </c>
      <c r="S141" s="115">
        <f>SUM(N142:N159)</f>
        <v>43020000</v>
      </c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</row>
    <row r="142" spans="1:34" s="5" customFormat="1" ht="12">
      <c r="A142" s="3" t="s">
        <v>589</v>
      </c>
      <c r="B142" s="17">
        <v>3285000</v>
      </c>
      <c r="C142" s="17">
        <v>3285000</v>
      </c>
      <c r="D142" s="17">
        <v>3285000</v>
      </c>
      <c r="E142" s="17">
        <v>3285000</v>
      </c>
      <c r="F142" s="17">
        <v>3285000</v>
      </c>
      <c r="G142" s="17">
        <v>3285000</v>
      </c>
      <c r="H142" s="17">
        <v>3285000</v>
      </c>
      <c r="I142" s="17">
        <v>3285000</v>
      </c>
      <c r="J142" s="17">
        <v>3285000</v>
      </c>
      <c r="K142" s="17">
        <v>3285000</v>
      </c>
      <c r="L142" s="17">
        <v>3285000</v>
      </c>
      <c r="M142" s="17">
        <v>3285000</v>
      </c>
      <c r="N142" s="4">
        <f>SUM(B142:M142)</f>
        <v>39420000</v>
      </c>
      <c r="P142" s="76"/>
      <c r="Q142" s="80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</row>
    <row r="143" spans="1:34" s="5" customFormat="1" ht="12" customHeight="1" hidden="1">
      <c r="A143" s="3" t="s">
        <v>237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4">
        <f aca="true" t="shared" si="35" ref="N143:N174">SUM(B143:M143)</f>
        <v>0</v>
      </c>
      <c r="P143" s="76"/>
      <c r="Q143" s="80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</row>
    <row r="144" spans="1:34" s="5" customFormat="1" ht="12" customHeight="1">
      <c r="A144" s="3" t="s">
        <v>238</v>
      </c>
      <c r="B144" s="136">
        <v>300000</v>
      </c>
      <c r="C144" s="136">
        <v>300000</v>
      </c>
      <c r="D144" s="136">
        <v>300000</v>
      </c>
      <c r="E144" s="136">
        <v>300000</v>
      </c>
      <c r="F144" s="136">
        <v>300000</v>
      </c>
      <c r="G144" s="136">
        <v>300000</v>
      </c>
      <c r="H144" s="136">
        <v>300000</v>
      </c>
      <c r="I144" s="136">
        <v>300000</v>
      </c>
      <c r="J144" s="136">
        <v>300000</v>
      </c>
      <c r="K144" s="136">
        <v>300000</v>
      </c>
      <c r="L144" s="136">
        <v>300000</v>
      </c>
      <c r="M144" s="136">
        <v>300000</v>
      </c>
      <c r="N144" s="4">
        <f t="shared" si="35"/>
        <v>3600000</v>
      </c>
      <c r="P144" s="76"/>
      <c r="Q144" s="80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</row>
    <row r="145" spans="1:34" s="5" customFormat="1" ht="12" customHeight="1" hidden="1">
      <c r="A145" s="3" t="s">
        <v>240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4">
        <f t="shared" si="35"/>
        <v>0</v>
      </c>
      <c r="P145" s="76"/>
      <c r="Q145" s="80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</row>
    <row r="146" spans="1:34" s="5" customFormat="1" ht="12" customHeight="1" hidden="1">
      <c r="A146" s="3" t="s">
        <v>590</v>
      </c>
      <c r="B146" s="136"/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4">
        <f t="shared" si="35"/>
        <v>0</v>
      </c>
      <c r="P146" s="76"/>
      <c r="Q146" s="80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</row>
    <row r="147" spans="1:34" s="5" customFormat="1" ht="12" hidden="1">
      <c r="A147" s="3" t="s">
        <v>241</v>
      </c>
      <c r="B147" s="136"/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4">
        <f t="shared" si="35"/>
        <v>0</v>
      </c>
      <c r="P147" s="76"/>
      <c r="Q147" s="80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</row>
    <row r="148" spans="1:34" s="5" customFormat="1" ht="12" customHeight="1" hidden="1">
      <c r="A148" s="3" t="s">
        <v>243</v>
      </c>
      <c r="B148" s="136"/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4">
        <f t="shared" si="35"/>
        <v>0</v>
      </c>
      <c r="P148" s="76"/>
      <c r="Q148" s="80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</row>
    <row r="149" spans="1:34" s="5" customFormat="1" ht="12" customHeight="1" hidden="1">
      <c r="A149" s="3" t="s">
        <v>244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4">
        <f t="shared" si="35"/>
        <v>0</v>
      </c>
      <c r="P149" s="76"/>
      <c r="Q149" s="80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</row>
    <row r="150" spans="1:34" s="5" customFormat="1" ht="12" customHeight="1" hidden="1">
      <c r="A150" s="3" t="s">
        <v>245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4">
        <f t="shared" si="35"/>
        <v>0</v>
      </c>
      <c r="P150" s="76"/>
      <c r="Q150" s="80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</row>
    <row r="151" spans="1:34" s="5" customFormat="1" ht="12" customHeight="1" hidden="1">
      <c r="A151" s="3" t="s">
        <v>246</v>
      </c>
      <c r="B151" s="136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4">
        <f t="shared" si="35"/>
        <v>0</v>
      </c>
      <c r="P151" s="76"/>
      <c r="Q151" s="80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</row>
    <row r="152" spans="1:34" s="5" customFormat="1" ht="12" customHeight="1" hidden="1">
      <c r="A152" s="3" t="s">
        <v>247</v>
      </c>
      <c r="B152" s="136"/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4">
        <f t="shared" si="35"/>
        <v>0</v>
      </c>
      <c r="P152" s="76"/>
      <c r="Q152" s="80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</row>
    <row r="153" spans="1:34" s="5" customFormat="1" ht="12" customHeight="1" hidden="1">
      <c r="A153" s="3" t="s">
        <v>613</v>
      </c>
      <c r="B153" s="136"/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4">
        <f t="shared" si="35"/>
        <v>0</v>
      </c>
      <c r="P153" s="76"/>
      <c r="Q153" s="80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</row>
    <row r="154" spans="1:34" s="5" customFormat="1" ht="12" hidden="1">
      <c r="A154" s="3" t="s">
        <v>250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4">
        <f t="shared" si="35"/>
        <v>0</v>
      </c>
      <c r="P154" s="76"/>
      <c r="Q154" s="80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</row>
    <row r="155" spans="1:34" s="5" customFormat="1" ht="12" customHeight="1" hidden="1">
      <c r="A155" s="3" t="s">
        <v>251</v>
      </c>
      <c r="B155" s="136"/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4">
        <f t="shared" si="35"/>
        <v>0</v>
      </c>
      <c r="P155" s="76"/>
      <c r="Q155" s="80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</row>
    <row r="156" spans="1:34" s="5" customFormat="1" ht="12" customHeight="1" hidden="1">
      <c r="A156" s="3" t="s">
        <v>252</v>
      </c>
      <c r="B156" s="136"/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4">
        <f t="shared" si="35"/>
        <v>0</v>
      </c>
      <c r="P156" s="76"/>
      <c r="Q156" s="80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</row>
    <row r="157" spans="1:34" s="5" customFormat="1" ht="12" customHeight="1" hidden="1">
      <c r="A157" s="3" t="s">
        <v>298</v>
      </c>
      <c r="B157" s="136"/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4">
        <f t="shared" si="35"/>
        <v>0</v>
      </c>
      <c r="P157" s="76"/>
      <c r="Q157" s="80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</row>
    <row r="158" spans="1:34" s="5" customFormat="1" ht="12" customHeight="1" hidden="1">
      <c r="A158" s="3" t="s">
        <v>296</v>
      </c>
      <c r="B158" s="136"/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4">
        <f t="shared" si="35"/>
        <v>0</v>
      </c>
      <c r="P158" s="76"/>
      <c r="Q158" s="80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</row>
    <row r="159" spans="1:34" s="5" customFormat="1" ht="12" customHeight="1" hidden="1">
      <c r="A159" s="3" t="s">
        <v>326</v>
      </c>
      <c r="B159" s="136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4">
        <f t="shared" si="35"/>
        <v>0</v>
      </c>
      <c r="P159" s="76"/>
      <c r="Q159" s="80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</row>
    <row r="160" spans="1:34" s="6" customFormat="1" ht="12" customHeight="1">
      <c r="A160" s="15" t="s">
        <v>94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6">
        <f>SUM(B160:M160)</f>
        <v>0</v>
      </c>
      <c r="P160" s="65">
        <f>SUM(B160:I160)</f>
        <v>0</v>
      </c>
      <c r="Q160" s="81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</row>
    <row r="161" spans="1:34" s="6" customFormat="1" ht="12" customHeight="1">
      <c r="A161" s="15" t="s">
        <v>96</v>
      </c>
      <c r="B161" s="137">
        <f>SUM(B162:B179)</f>
        <v>5912500.004</v>
      </c>
      <c r="C161" s="137">
        <f>SUM(C162:C179)</f>
        <v>5912500.004</v>
      </c>
      <c r="D161" s="137">
        <f aca="true" t="shared" si="36" ref="D161:M161">SUM(D162:D179)</f>
        <v>5912500.004</v>
      </c>
      <c r="E161" s="137">
        <f t="shared" si="36"/>
        <v>5912500.004</v>
      </c>
      <c r="F161" s="137">
        <f t="shared" si="36"/>
        <v>5912500.004</v>
      </c>
      <c r="G161" s="137">
        <f t="shared" si="36"/>
        <v>5912500.004</v>
      </c>
      <c r="H161" s="137">
        <f t="shared" si="36"/>
        <v>5912500.004</v>
      </c>
      <c r="I161" s="137">
        <f t="shared" si="36"/>
        <v>5912500.004</v>
      </c>
      <c r="J161" s="137">
        <f t="shared" si="36"/>
        <v>5912500.004</v>
      </c>
      <c r="K161" s="137">
        <f t="shared" si="36"/>
        <v>5912500.004</v>
      </c>
      <c r="L161" s="137">
        <f t="shared" si="36"/>
        <v>5912500.004</v>
      </c>
      <c r="M161" s="137">
        <f t="shared" si="36"/>
        <v>5912500.004</v>
      </c>
      <c r="N161" s="16">
        <f>SUM(B161:M161)</f>
        <v>70950000.048</v>
      </c>
      <c r="P161" s="65">
        <f>SUM(B161:I161)</f>
        <v>47300000.032</v>
      </c>
      <c r="Q161" s="81"/>
      <c r="R161" s="115">
        <f>'[1]Ejecución Indotel'!$BL$35</f>
        <v>1592754.96</v>
      </c>
      <c r="S161" s="115">
        <f>SUM(N162:N179)</f>
        <v>70950000.04800002</v>
      </c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</row>
    <row r="162" spans="1:34" s="5" customFormat="1" ht="12">
      <c r="A162" s="3" t="s">
        <v>236</v>
      </c>
      <c r="B162" s="136">
        <f>(B47+B120+B69)*10%</f>
        <v>317777.778</v>
      </c>
      <c r="C162" s="136">
        <f aca="true" t="shared" si="37" ref="C162:M162">(C47+C120+C69)*10%</f>
        <v>317777.778</v>
      </c>
      <c r="D162" s="136">
        <f t="shared" si="37"/>
        <v>317777.778</v>
      </c>
      <c r="E162" s="136">
        <f t="shared" si="37"/>
        <v>317777.778</v>
      </c>
      <c r="F162" s="136">
        <f t="shared" si="37"/>
        <v>317777.778</v>
      </c>
      <c r="G162" s="136">
        <f t="shared" si="37"/>
        <v>317777.778</v>
      </c>
      <c r="H162" s="136">
        <f t="shared" si="37"/>
        <v>317777.778</v>
      </c>
      <c r="I162" s="136">
        <f t="shared" si="37"/>
        <v>317777.778</v>
      </c>
      <c r="J162" s="136">
        <f t="shared" si="37"/>
        <v>317777.778</v>
      </c>
      <c r="K162" s="136">
        <f t="shared" si="37"/>
        <v>317777.778</v>
      </c>
      <c r="L162" s="136">
        <f t="shared" si="37"/>
        <v>317777.778</v>
      </c>
      <c r="M162" s="136">
        <f t="shared" si="37"/>
        <v>317777.778</v>
      </c>
      <c r="N162" s="4">
        <f>SUM(B162:M162)</f>
        <v>3813333.3359999997</v>
      </c>
      <c r="P162" s="76"/>
      <c r="Q162" s="80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</row>
    <row r="163" spans="1:34" s="5" customFormat="1" ht="12" customHeight="1">
      <c r="A163" s="3" t="s">
        <v>237</v>
      </c>
      <c r="B163" s="136">
        <f>(B48+B121+B77)*10%</f>
        <v>317777.778</v>
      </c>
      <c r="C163" s="136">
        <f aca="true" t="shared" si="38" ref="C163:M163">(C48+C121+C77)*10%</f>
        <v>317777.778</v>
      </c>
      <c r="D163" s="136">
        <f t="shared" si="38"/>
        <v>317777.778</v>
      </c>
      <c r="E163" s="136">
        <f t="shared" si="38"/>
        <v>317777.778</v>
      </c>
      <c r="F163" s="136">
        <f t="shared" si="38"/>
        <v>317777.778</v>
      </c>
      <c r="G163" s="136">
        <f t="shared" si="38"/>
        <v>317777.778</v>
      </c>
      <c r="H163" s="136">
        <f t="shared" si="38"/>
        <v>317777.778</v>
      </c>
      <c r="I163" s="136">
        <f t="shared" si="38"/>
        <v>317777.778</v>
      </c>
      <c r="J163" s="136">
        <f t="shared" si="38"/>
        <v>317777.778</v>
      </c>
      <c r="K163" s="136">
        <f t="shared" si="38"/>
        <v>317777.778</v>
      </c>
      <c r="L163" s="136">
        <f t="shared" si="38"/>
        <v>317777.778</v>
      </c>
      <c r="M163" s="136">
        <f t="shared" si="38"/>
        <v>317777.778</v>
      </c>
      <c r="N163" s="4">
        <f t="shared" si="35"/>
        <v>3813333.3359999997</v>
      </c>
      <c r="P163" s="76"/>
      <c r="Q163" s="80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</row>
    <row r="164" spans="1:34" s="5" customFormat="1" ht="12" customHeight="1">
      <c r="A164" s="3" t="s">
        <v>238</v>
      </c>
      <c r="B164" s="136">
        <f>(B49+B122+B81)*10%</f>
        <v>342277.778</v>
      </c>
      <c r="C164" s="136">
        <f aca="true" t="shared" si="39" ref="C164:M164">(C49+C122+C81)*10%</f>
        <v>342277.778</v>
      </c>
      <c r="D164" s="136">
        <f t="shared" si="39"/>
        <v>342277.778</v>
      </c>
      <c r="E164" s="136">
        <f t="shared" si="39"/>
        <v>342277.778</v>
      </c>
      <c r="F164" s="136">
        <f t="shared" si="39"/>
        <v>342277.778</v>
      </c>
      <c r="G164" s="136">
        <f t="shared" si="39"/>
        <v>342277.778</v>
      </c>
      <c r="H164" s="136">
        <f t="shared" si="39"/>
        <v>342277.778</v>
      </c>
      <c r="I164" s="136">
        <f t="shared" si="39"/>
        <v>342277.778</v>
      </c>
      <c r="J164" s="136">
        <f t="shared" si="39"/>
        <v>342277.778</v>
      </c>
      <c r="K164" s="136">
        <f t="shared" si="39"/>
        <v>342277.778</v>
      </c>
      <c r="L164" s="136">
        <f t="shared" si="39"/>
        <v>342277.778</v>
      </c>
      <c r="M164" s="136">
        <f t="shared" si="39"/>
        <v>342277.778</v>
      </c>
      <c r="N164" s="4">
        <f t="shared" si="35"/>
        <v>4107333.3359999997</v>
      </c>
      <c r="P164" s="76"/>
      <c r="Q164" s="80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</row>
    <row r="165" spans="1:34" s="5" customFormat="1" ht="12" customHeight="1">
      <c r="A165" s="3" t="s">
        <v>240</v>
      </c>
      <c r="B165" s="136">
        <f>(B51+B123+B87)*10%</f>
        <v>338777.778</v>
      </c>
      <c r="C165" s="136">
        <f aca="true" t="shared" si="40" ref="C165:M165">(C51+C123+C87)*10%</f>
        <v>338777.778</v>
      </c>
      <c r="D165" s="136">
        <f t="shared" si="40"/>
        <v>338777.778</v>
      </c>
      <c r="E165" s="136">
        <f t="shared" si="40"/>
        <v>338777.778</v>
      </c>
      <c r="F165" s="136">
        <f t="shared" si="40"/>
        <v>338777.778</v>
      </c>
      <c r="G165" s="136">
        <f t="shared" si="40"/>
        <v>338777.778</v>
      </c>
      <c r="H165" s="136">
        <f t="shared" si="40"/>
        <v>338777.778</v>
      </c>
      <c r="I165" s="136">
        <f t="shared" si="40"/>
        <v>338777.778</v>
      </c>
      <c r="J165" s="136">
        <f t="shared" si="40"/>
        <v>338777.778</v>
      </c>
      <c r="K165" s="136">
        <f t="shared" si="40"/>
        <v>338777.778</v>
      </c>
      <c r="L165" s="136">
        <f t="shared" si="40"/>
        <v>338777.778</v>
      </c>
      <c r="M165" s="136">
        <f t="shared" si="40"/>
        <v>338777.778</v>
      </c>
      <c r="N165" s="4">
        <f t="shared" si="35"/>
        <v>4065333.3359999997</v>
      </c>
      <c r="P165" s="76"/>
      <c r="Q165" s="80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</row>
    <row r="166" spans="1:34" s="5" customFormat="1" ht="12">
      <c r="A166" s="3" t="s">
        <v>241</v>
      </c>
      <c r="B166" s="136">
        <f>(B52+B125+B90)*10%</f>
        <v>317777.778</v>
      </c>
      <c r="C166" s="136">
        <f aca="true" t="shared" si="41" ref="C166:M166">(C52+C125+C90)*10%</f>
        <v>317777.778</v>
      </c>
      <c r="D166" s="136">
        <f t="shared" si="41"/>
        <v>317777.778</v>
      </c>
      <c r="E166" s="136">
        <f t="shared" si="41"/>
        <v>317777.778</v>
      </c>
      <c r="F166" s="136">
        <f t="shared" si="41"/>
        <v>317777.778</v>
      </c>
      <c r="G166" s="136">
        <f t="shared" si="41"/>
        <v>317777.778</v>
      </c>
      <c r="H166" s="136">
        <f t="shared" si="41"/>
        <v>317777.778</v>
      </c>
      <c r="I166" s="136">
        <f t="shared" si="41"/>
        <v>317777.778</v>
      </c>
      <c r="J166" s="136">
        <f t="shared" si="41"/>
        <v>317777.778</v>
      </c>
      <c r="K166" s="136">
        <f t="shared" si="41"/>
        <v>317777.778</v>
      </c>
      <c r="L166" s="136">
        <f t="shared" si="41"/>
        <v>317777.778</v>
      </c>
      <c r="M166" s="136">
        <f t="shared" si="41"/>
        <v>317777.778</v>
      </c>
      <c r="N166" s="4">
        <f t="shared" si="35"/>
        <v>3813333.3359999997</v>
      </c>
      <c r="P166" s="76"/>
      <c r="Q166" s="80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</row>
    <row r="167" spans="1:34" s="5" customFormat="1" ht="12" customHeight="1">
      <c r="A167" s="3" t="s">
        <v>243</v>
      </c>
      <c r="B167" s="136">
        <f>(B54+B127+B91)*10%</f>
        <v>327777.778</v>
      </c>
      <c r="C167" s="136">
        <f aca="true" t="shared" si="42" ref="C167:M167">(C54+C127+C91)*10%</f>
        <v>327777.778</v>
      </c>
      <c r="D167" s="136">
        <f t="shared" si="42"/>
        <v>327777.778</v>
      </c>
      <c r="E167" s="136">
        <f t="shared" si="42"/>
        <v>327777.778</v>
      </c>
      <c r="F167" s="136">
        <f t="shared" si="42"/>
        <v>327777.778</v>
      </c>
      <c r="G167" s="136">
        <f t="shared" si="42"/>
        <v>327777.778</v>
      </c>
      <c r="H167" s="136">
        <f t="shared" si="42"/>
        <v>327777.778</v>
      </c>
      <c r="I167" s="136">
        <f t="shared" si="42"/>
        <v>327777.778</v>
      </c>
      <c r="J167" s="136">
        <f t="shared" si="42"/>
        <v>327777.778</v>
      </c>
      <c r="K167" s="136">
        <f t="shared" si="42"/>
        <v>327777.778</v>
      </c>
      <c r="L167" s="136">
        <f t="shared" si="42"/>
        <v>327777.778</v>
      </c>
      <c r="M167" s="136">
        <f t="shared" si="42"/>
        <v>327777.778</v>
      </c>
      <c r="N167" s="4">
        <f t="shared" si="35"/>
        <v>3933333.3359999997</v>
      </c>
      <c r="P167" s="76"/>
      <c r="Q167" s="80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</row>
    <row r="168" spans="1:34" s="5" customFormat="1" ht="12" customHeight="1">
      <c r="A168" s="3" t="s">
        <v>244</v>
      </c>
      <c r="B168" s="136">
        <f>(B55+B128+B93)*10%</f>
        <v>353777.778</v>
      </c>
      <c r="C168" s="136">
        <f aca="true" t="shared" si="43" ref="C168:M168">(C55+C128+C93)*10%</f>
        <v>353777.778</v>
      </c>
      <c r="D168" s="136">
        <f t="shared" si="43"/>
        <v>353777.778</v>
      </c>
      <c r="E168" s="136">
        <f t="shared" si="43"/>
        <v>353777.778</v>
      </c>
      <c r="F168" s="136">
        <f t="shared" si="43"/>
        <v>353777.778</v>
      </c>
      <c r="G168" s="136">
        <f t="shared" si="43"/>
        <v>353777.778</v>
      </c>
      <c r="H168" s="136">
        <f t="shared" si="43"/>
        <v>353777.778</v>
      </c>
      <c r="I168" s="136">
        <f t="shared" si="43"/>
        <v>353777.778</v>
      </c>
      <c r="J168" s="136">
        <f t="shared" si="43"/>
        <v>353777.778</v>
      </c>
      <c r="K168" s="136">
        <f t="shared" si="43"/>
        <v>353777.778</v>
      </c>
      <c r="L168" s="136">
        <f t="shared" si="43"/>
        <v>353777.778</v>
      </c>
      <c r="M168" s="136">
        <f t="shared" si="43"/>
        <v>353777.778</v>
      </c>
      <c r="N168" s="4">
        <f t="shared" si="35"/>
        <v>4245333.336</v>
      </c>
      <c r="P168" s="76"/>
      <c r="Q168" s="80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</row>
    <row r="169" spans="1:34" s="5" customFormat="1" ht="12" customHeight="1">
      <c r="A169" s="3" t="s">
        <v>245</v>
      </c>
      <c r="B169" s="136">
        <f>(B56+B129+B96)*10%</f>
        <v>337777.778</v>
      </c>
      <c r="C169" s="136">
        <f aca="true" t="shared" si="44" ref="C169:M169">(C56+C129+C96)*10%</f>
        <v>337777.778</v>
      </c>
      <c r="D169" s="136">
        <f t="shared" si="44"/>
        <v>337777.778</v>
      </c>
      <c r="E169" s="136">
        <f t="shared" si="44"/>
        <v>337777.778</v>
      </c>
      <c r="F169" s="136">
        <f t="shared" si="44"/>
        <v>337777.778</v>
      </c>
      <c r="G169" s="136">
        <f t="shared" si="44"/>
        <v>337777.778</v>
      </c>
      <c r="H169" s="136">
        <f t="shared" si="44"/>
        <v>337777.778</v>
      </c>
      <c r="I169" s="136">
        <f t="shared" si="44"/>
        <v>337777.778</v>
      </c>
      <c r="J169" s="136">
        <f t="shared" si="44"/>
        <v>337777.778</v>
      </c>
      <c r="K169" s="136">
        <f t="shared" si="44"/>
        <v>337777.778</v>
      </c>
      <c r="L169" s="136">
        <f t="shared" si="44"/>
        <v>337777.778</v>
      </c>
      <c r="M169" s="136">
        <f t="shared" si="44"/>
        <v>337777.778</v>
      </c>
      <c r="N169" s="4">
        <f t="shared" si="35"/>
        <v>4053333.3359999997</v>
      </c>
      <c r="P169" s="76"/>
      <c r="Q169" s="80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</row>
    <row r="170" spans="1:34" s="5" customFormat="1" ht="12" customHeight="1">
      <c r="A170" s="3" t="s">
        <v>246</v>
      </c>
      <c r="B170" s="136">
        <f>(B57+B130+B98)*10%</f>
        <v>332777.778</v>
      </c>
      <c r="C170" s="136">
        <f aca="true" t="shared" si="45" ref="C170:M170">(C57+C130+C98)*10%</f>
        <v>332777.778</v>
      </c>
      <c r="D170" s="136">
        <f t="shared" si="45"/>
        <v>332777.778</v>
      </c>
      <c r="E170" s="136">
        <f t="shared" si="45"/>
        <v>332777.778</v>
      </c>
      <c r="F170" s="136">
        <f t="shared" si="45"/>
        <v>332777.778</v>
      </c>
      <c r="G170" s="136">
        <f t="shared" si="45"/>
        <v>332777.778</v>
      </c>
      <c r="H170" s="136">
        <f t="shared" si="45"/>
        <v>332777.778</v>
      </c>
      <c r="I170" s="136">
        <f t="shared" si="45"/>
        <v>332777.778</v>
      </c>
      <c r="J170" s="136">
        <f t="shared" si="45"/>
        <v>332777.778</v>
      </c>
      <c r="K170" s="136">
        <f t="shared" si="45"/>
        <v>332777.778</v>
      </c>
      <c r="L170" s="136">
        <f t="shared" si="45"/>
        <v>332777.778</v>
      </c>
      <c r="M170" s="136">
        <f t="shared" si="45"/>
        <v>332777.778</v>
      </c>
      <c r="N170" s="4">
        <f t="shared" si="35"/>
        <v>3993333.3359999997</v>
      </c>
      <c r="P170" s="76"/>
      <c r="Q170" s="80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</row>
    <row r="171" spans="1:34" s="5" customFormat="1" ht="12" customHeight="1">
      <c r="A171" s="3" t="s">
        <v>247</v>
      </c>
      <c r="B171" s="136">
        <f>(B58+B131+B99)*10%</f>
        <v>317777.778</v>
      </c>
      <c r="C171" s="136">
        <f aca="true" t="shared" si="46" ref="C171:M171">(C58+C131+C99)*10%</f>
        <v>317777.778</v>
      </c>
      <c r="D171" s="136">
        <f t="shared" si="46"/>
        <v>317777.778</v>
      </c>
      <c r="E171" s="136">
        <f t="shared" si="46"/>
        <v>317777.778</v>
      </c>
      <c r="F171" s="136">
        <f t="shared" si="46"/>
        <v>317777.778</v>
      </c>
      <c r="G171" s="136">
        <f t="shared" si="46"/>
        <v>317777.778</v>
      </c>
      <c r="H171" s="136">
        <f t="shared" si="46"/>
        <v>317777.778</v>
      </c>
      <c r="I171" s="136">
        <f t="shared" si="46"/>
        <v>317777.778</v>
      </c>
      <c r="J171" s="136">
        <f t="shared" si="46"/>
        <v>317777.778</v>
      </c>
      <c r="K171" s="136">
        <f t="shared" si="46"/>
        <v>317777.778</v>
      </c>
      <c r="L171" s="136">
        <f t="shared" si="46"/>
        <v>317777.778</v>
      </c>
      <c r="M171" s="136">
        <f t="shared" si="46"/>
        <v>317777.778</v>
      </c>
      <c r="N171" s="4">
        <f t="shared" si="35"/>
        <v>3813333.3359999997</v>
      </c>
      <c r="P171" s="76"/>
      <c r="Q171" s="80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</row>
    <row r="172" spans="1:34" s="5" customFormat="1" ht="12" customHeight="1">
      <c r="A172" s="3" t="s">
        <v>296</v>
      </c>
      <c r="B172" s="136">
        <f>(B60+B133+B103)*10%</f>
        <v>317777.778</v>
      </c>
      <c r="C172" s="136">
        <f aca="true" t="shared" si="47" ref="C172:M172">(C60+C133+C103)*10%</f>
        <v>317777.778</v>
      </c>
      <c r="D172" s="136">
        <f t="shared" si="47"/>
        <v>317777.778</v>
      </c>
      <c r="E172" s="136">
        <f t="shared" si="47"/>
        <v>317777.778</v>
      </c>
      <c r="F172" s="136">
        <f t="shared" si="47"/>
        <v>317777.778</v>
      </c>
      <c r="G172" s="136">
        <f t="shared" si="47"/>
        <v>317777.778</v>
      </c>
      <c r="H172" s="136">
        <f t="shared" si="47"/>
        <v>317777.778</v>
      </c>
      <c r="I172" s="136">
        <f t="shared" si="47"/>
        <v>317777.778</v>
      </c>
      <c r="J172" s="136">
        <f t="shared" si="47"/>
        <v>317777.778</v>
      </c>
      <c r="K172" s="136">
        <f t="shared" si="47"/>
        <v>317777.778</v>
      </c>
      <c r="L172" s="136">
        <f t="shared" si="47"/>
        <v>317777.778</v>
      </c>
      <c r="M172" s="136">
        <f t="shared" si="47"/>
        <v>317777.778</v>
      </c>
      <c r="N172" s="4">
        <f t="shared" si="35"/>
        <v>3813333.3359999997</v>
      </c>
      <c r="P172" s="76"/>
      <c r="Q172" s="80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</row>
    <row r="173" spans="1:34" s="5" customFormat="1" ht="12" customHeight="1">
      <c r="A173" s="3" t="s">
        <v>249</v>
      </c>
      <c r="B173" s="136">
        <f>(B61+B134+B104)*10%</f>
        <v>336777.778</v>
      </c>
      <c r="C173" s="136">
        <f aca="true" t="shared" si="48" ref="C173:M173">(C61+C134+C104)*10%</f>
        <v>336777.778</v>
      </c>
      <c r="D173" s="136">
        <f t="shared" si="48"/>
        <v>336777.778</v>
      </c>
      <c r="E173" s="136">
        <f t="shared" si="48"/>
        <v>336777.778</v>
      </c>
      <c r="F173" s="136">
        <f t="shared" si="48"/>
        <v>336777.778</v>
      </c>
      <c r="G173" s="136">
        <f t="shared" si="48"/>
        <v>336777.778</v>
      </c>
      <c r="H173" s="136">
        <f t="shared" si="48"/>
        <v>336777.778</v>
      </c>
      <c r="I173" s="136">
        <f t="shared" si="48"/>
        <v>336777.778</v>
      </c>
      <c r="J173" s="136">
        <f t="shared" si="48"/>
        <v>336777.778</v>
      </c>
      <c r="K173" s="136">
        <f t="shared" si="48"/>
        <v>336777.778</v>
      </c>
      <c r="L173" s="136">
        <f t="shared" si="48"/>
        <v>336777.778</v>
      </c>
      <c r="M173" s="136">
        <f t="shared" si="48"/>
        <v>336777.778</v>
      </c>
      <c r="N173" s="4">
        <f t="shared" si="35"/>
        <v>4041333.3359999997</v>
      </c>
      <c r="P173" s="76"/>
      <c r="Q173" s="80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</row>
    <row r="174" spans="1:34" s="5" customFormat="1" ht="12">
      <c r="A174" s="3" t="s">
        <v>250</v>
      </c>
      <c r="B174" s="136">
        <f>(B62+B135+B107)*10%</f>
        <v>317777.778</v>
      </c>
      <c r="C174" s="136">
        <f aca="true" t="shared" si="49" ref="C174:M174">(C62+C135+C107)*10%</f>
        <v>317777.778</v>
      </c>
      <c r="D174" s="136">
        <f t="shared" si="49"/>
        <v>317777.778</v>
      </c>
      <c r="E174" s="136">
        <f t="shared" si="49"/>
        <v>317777.778</v>
      </c>
      <c r="F174" s="136">
        <f t="shared" si="49"/>
        <v>317777.778</v>
      </c>
      <c r="G174" s="136">
        <f t="shared" si="49"/>
        <v>317777.778</v>
      </c>
      <c r="H174" s="136">
        <f t="shared" si="49"/>
        <v>317777.778</v>
      </c>
      <c r="I174" s="136">
        <f t="shared" si="49"/>
        <v>317777.778</v>
      </c>
      <c r="J174" s="136">
        <f t="shared" si="49"/>
        <v>317777.778</v>
      </c>
      <c r="K174" s="136">
        <f t="shared" si="49"/>
        <v>317777.778</v>
      </c>
      <c r="L174" s="136">
        <f t="shared" si="49"/>
        <v>317777.778</v>
      </c>
      <c r="M174" s="136">
        <f t="shared" si="49"/>
        <v>317777.778</v>
      </c>
      <c r="N174" s="4">
        <f t="shared" si="35"/>
        <v>3813333.3359999997</v>
      </c>
      <c r="P174" s="76"/>
      <c r="Q174" s="80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</row>
    <row r="175" spans="1:34" s="5" customFormat="1" ht="12" customHeight="1">
      <c r="A175" s="3" t="s">
        <v>252</v>
      </c>
      <c r="B175" s="136">
        <f>(B64+B137+B108)*10%</f>
        <v>317777.778</v>
      </c>
      <c r="C175" s="136">
        <f aca="true" t="shared" si="50" ref="C175:M175">(C64+C137+C108)*10%</f>
        <v>317777.778</v>
      </c>
      <c r="D175" s="136">
        <f t="shared" si="50"/>
        <v>317777.778</v>
      </c>
      <c r="E175" s="136">
        <f t="shared" si="50"/>
        <v>317777.778</v>
      </c>
      <c r="F175" s="136">
        <f t="shared" si="50"/>
        <v>317777.778</v>
      </c>
      <c r="G175" s="136">
        <f t="shared" si="50"/>
        <v>317777.778</v>
      </c>
      <c r="H175" s="136">
        <f t="shared" si="50"/>
        <v>317777.778</v>
      </c>
      <c r="I175" s="136">
        <f t="shared" si="50"/>
        <v>317777.778</v>
      </c>
      <c r="J175" s="136">
        <f t="shared" si="50"/>
        <v>317777.778</v>
      </c>
      <c r="K175" s="136">
        <f t="shared" si="50"/>
        <v>317777.778</v>
      </c>
      <c r="L175" s="136">
        <f t="shared" si="50"/>
        <v>317777.778</v>
      </c>
      <c r="M175" s="136">
        <f t="shared" si="50"/>
        <v>317777.778</v>
      </c>
      <c r="N175" s="4">
        <f aca="true" t="shared" si="51" ref="N175:N207">SUM(B175:M175)</f>
        <v>3813333.3359999997</v>
      </c>
      <c r="P175" s="76"/>
      <c r="Q175" s="80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</row>
    <row r="176" spans="1:34" s="5" customFormat="1" ht="12" customHeight="1">
      <c r="A176" s="3" t="s">
        <v>297</v>
      </c>
      <c r="B176" s="136">
        <f>(B65+B138+B110)*10%</f>
        <v>317777.778</v>
      </c>
      <c r="C176" s="136">
        <f aca="true" t="shared" si="52" ref="C176:M176">(C65+C138+C110)*10%</f>
        <v>317777.778</v>
      </c>
      <c r="D176" s="136">
        <f t="shared" si="52"/>
        <v>317777.778</v>
      </c>
      <c r="E176" s="136">
        <f t="shared" si="52"/>
        <v>317777.778</v>
      </c>
      <c r="F176" s="136">
        <f t="shared" si="52"/>
        <v>317777.778</v>
      </c>
      <c r="G176" s="136">
        <f t="shared" si="52"/>
        <v>317777.778</v>
      </c>
      <c r="H176" s="136">
        <f t="shared" si="52"/>
        <v>317777.778</v>
      </c>
      <c r="I176" s="136">
        <f t="shared" si="52"/>
        <v>317777.778</v>
      </c>
      <c r="J176" s="136">
        <f t="shared" si="52"/>
        <v>317777.778</v>
      </c>
      <c r="K176" s="136">
        <f t="shared" si="52"/>
        <v>317777.778</v>
      </c>
      <c r="L176" s="136">
        <f t="shared" si="52"/>
        <v>317777.778</v>
      </c>
      <c r="M176" s="136">
        <f t="shared" si="52"/>
        <v>317777.778</v>
      </c>
      <c r="N176" s="4">
        <f t="shared" si="51"/>
        <v>3813333.3359999997</v>
      </c>
      <c r="P176" s="76"/>
      <c r="Q176" s="80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</row>
    <row r="177" spans="1:34" s="5" customFormat="1" ht="12" customHeight="1">
      <c r="A177" s="3" t="s">
        <v>325</v>
      </c>
      <c r="B177" s="136">
        <f>(B66+B139+B111)*10%</f>
        <v>317777.778</v>
      </c>
      <c r="C177" s="136">
        <f aca="true" t="shared" si="53" ref="C177:M177">(C66+C139+C111)*10%</f>
        <v>317777.778</v>
      </c>
      <c r="D177" s="136">
        <f t="shared" si="53"/>
        <v>317777.778</v>
      </c>
      <c r="E177" s="136">
        <f t="shared" si="53"/>
        <v>317777.778</v>
      </c>
      <c r="F177" s="136">
        <f t="shared" si="53"/>
        <v>317777.778</v>
      </c>
      <c r="G177" s="136">
        <f t="shared" si="53"/>
        <v>317777.778</v>
      </c>
      <c r="H177" s="136">
        <f t="shared" si="53"/>
        <v>317777.778</v>
      </c>
      <c r="I177" s="136">
        <f t="shared" si="53"/>
        <v>317777.778</v>
      </c>
      <c r="J177" s="136">
        <f t="shared" si="53"/>
        <v>317777.778</v>
      </c>
      <c r="K177" s="136">
        <f t="shared" si="53"/>
        <v>317777.778</v>
      </c>
      <c r="L177" s="136">
        <f t="shared" si="53"/>
        <v>317777.778</v>
      </c>
      <c r="M177" s="136">
        <f t="shared" si="53"/>
        <v>317777.778</v>
      </c>
      <c r="N177" s="4">
        <f t="shared" si="51"/>
        <v>3813333.3359999997</v>
      </c>
      <c r="P177" s="76"/>
      <c r="Q177" s="80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</row>
    <row r="178" spans="1:34" s="5" customFormat="1" ht="12" customHeight="1">
      <c r="A178" s="3" t="s">
        <v>1012</v>
      </c>
      <c r="B178" s="136">
        <f>(B63+B140+B114)*10%</f>
        <v>356777.778</v>
      </c>
      <c r="C178" s="136">
        <f aca="true" t="shared" si="54" ref="C178:M178">(C63+C140+C114)*10%</f>
        <v>356777.778</v>
      </c>
      <c r="D178" s="136">
        <f t="shared" si="54"/>
        <v>356777.778</v>
      </c>
      <c r="E178" s="136">
        <f t="shared" si="54"/>
        <v>356777.778</v>
      </c>
      <c r="F178" s="136">
        <f t="shared" si="54"/>
        <v>356777.778</v>
      </c>
      <c r="G178" s="136">
        <f t="shared" si="54"/>
        <v>356777.778</v>
      </c>
      <c r="H178" s="136">
        <f t="shared" si="54"/>
        <v>356777.778</v>
      </c>
      <c r="I178" s="136">
        <f t="shared" si="54"/>
        <v>356777.778</v>
      </c>
      <c r="J178" s="136">
        <f t="shared" si="54"/>
        <v>356777.778</v>
      </c>
      <c r="K178" s="136">
        <f t="shared" si="54"/>
        <v>356777.778</v>
      </c>
      <c r="L178" s="136">
        <f t="shared" si="54"/>
        <v>356777.778</v>
      </c>
      <c r="M178" s="136">
        <f t="shared" si="54"/>
        <v>356777.778</v>
      </c>
      <c r="N178" s="4">
        <f>SUM(B178:M178)</f>
        <v>4281333.336</v>
      </c>
      <c r="P178" s="76"/>
      <c r="Q178" s="80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</row>
    <row r="179" spans="1:34" s="5" customFormat="1" ht="12" customHeight="1">
      <c r="A179" s="3" t="s">
        <v>326</v>
      </c>
      <c r="B179" s="136">
        <f>(B67+B140+B112)*10%</f>
        <v>325777.778</v>
      </c>
      <c r="C179" s="136">
        <f aca="true" t="shared" si="55" ref="C179:M179">(C67+C140+C112)*10%</f>
        <v>325777.778</v>
      </c>
      <c r="D179" s="136">
        <f t="shared" si="55"/>
        <v>325777.778</v>
      </c>
      <c r="E179" s="136">
        <f t="shared" si="55"/>
        <v>325777.778</v>
      </c>
      <c r="F179" s="136">
        <f t="shared" si="55"/>
        <v>325777.778</v>
      </c>
      <c r="G179" s="136">
        <f t="shared" si="55"/>
        <v>325777.778</v>
      </c>
      <c r="H179" s="136">
        <f t="shared" si="55"/>
        <v>325777.778</v>
      </c>
      <c r="I179" s="136">
        <f t="shared" si="55"/>
        <v>325777.778</v>
      </c>
      <c r="J179" s="136">
        <f t="shared" si="55"/>
        <v>325777.778</v>
      </c>
      <c r="K179" s="136">
        <f t="shared" si="55"/>
        <v>325777.778</v>
      </c>
      <c r="L179" s="136">
        <f t="shared" si="55"/>
        <v>325777.778</v>
      </c>
      <c r="M179" s="136">
        <f t="shared" si="55"/>
        <v>325777.778</v>
      </c>
      <c r="N179" s="4">
        <f t="shared" si="51"/>
        <v>3909333.3359999997</v>
      </c>
      <c r="P179" s="76"/>
      <c r="Q179" s="80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</row>
    <row r="180" spans="1:34" s="6" customFormat="1" ht="12" customHeight="1">
      <c r="A180" s="15" t="s">
        <v>98</v>
      </c>
      <c r="B180" s="137">
        <f>SUM(B181:B197)</f>
        <v>1773750.08</v>
      </c>
      <c r="C180" s="137">
        <f>SUM(C181:C197)</f>
        <v>1773750.08</v>
      </c>
      <c r="D180" s="137">
        <f aca="true" t="shared" si="56" ref="D180:M180">SUM(D181:D197)</f>
        <v>1773750.08</v>
      </c>
      <c r="E180" s="137">
        <f t="shared" si="56"/>
        <v>1773750.08</v>
      </c>
      <c r="F180" s="137">
        <f t="shared" si="56"/>
        <v>1773750.08</v>
      </c>
      <c r="G180" s="137">
        <f t="shared" si="56"/>
        <v>1773750.08</v>
      </c>
      <c r="H180" s="137">
        <f t="shared" si="56"/>
        <v>1773750.08</v>
      </c>
      <c r="I180" s="137">
        <f t="shared" si="56"/>
        <v>1773750.08</v>
      </c>
      <c r="J180" s="137">
        <f t="shared" si="56"/>
        <v>1773750.08</v>
      </c>
      <c r="K180" s="137">
        <f t="shared" si="56"/>
        <v>1773750.08</v>
      </c>
      <c r="L180" s="137">
        <f t="shared" si="56"/>
        <v>1773750.08</v>
      </c>
      <c r="M180" s="137">
        <f t="shared" si="56"/>
        <v>1773750.08</v>
      </c>
      <c r="N180" s="16">
        <f t="shared" si="51"/>
        <v>21285000.96</v>
      </c>
      <c r="P180" s="65">
        <f>SUM(B180:I180)</f>
        <v>14190000.64</v>
      </c>
      <c r="Q180" s="81"/>
      <c r="R180" s="115">
        <f>'[1]Ejecución Indotel'!$BL$37</f>
        <v>398188.74</v>
      </c>
      <c r="S180" s="115">
        <f>SUM(N181:N197)</f>
        <v>21285000.96</v>
      </c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</row>
    <row r="181" spans="1:34" s="6" customFormat="1" ht="12">
      <c r="A181" s="3" t="s">
        <v>236</v>
      </c>
      <c r="B181" s="136">
        <v>104338.24</v>
      </c>
      <c r="C181" s="136">
        <v>104338.24</v>
      </c>
      <c r="D181" s="136">
        <v>104338.24</v>
      </c>
      <c r="E181" s="136">
        <v>104338.24</v>
      </c>
      <c r="F181" s="136">
        <v>104338.24</v>
      </c>
      <c r="G181" s="136">
        <v>104338.24</v>
      </c>
      <c r="H181" s="136">
        <v>104338.24</v>
      </c>
      <c r="I181" s="136">
        <v>104338.24</v>
      </c>
      <c r="J181" s="136">
        <v>104338.24</v>
      </c>
      <c r="K181" s="136">
        <v>104338.24</v>
      </c>
      <c r="L181" s="136">
        <v>104338.24</v>
      </c>
      <c r="M181" s="136">
        <v>104338.24</v>
      </c>
      <c r="N181" s="4">
        <f t="shared" si="51"/>
        <v>1252058.8800000001</v>
      </c>
      <c r="P181" s="65"/>
      <c r="Q181" s="81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</row>
    <row r="182" spans="1:34" s="6" customFormat="1" ht="12" customHeight="1">
      <c r="A182" s="3" t="s">
        <v>237</v>
      </c>
      <c r="B182" s="136">
        <v>104338.24</v>
      </c>
      <c r="C182" s="136">
        <v>104338.24</v>
      </c>
      <c r="D182" s="136">
        <v>104338.24</v>
      </c>
      <c r="E182" s="136">
        <v>104338.24</v>
      </c>
      <c r="F182" s="136">
        <v>104338.24</v>
      </c>
      <c r="G182" s="136">
        <v>104338.24</v>
      </c>
      <c r="H182" s="136">
        <v>104338.24</v>
      </c>
      <c r="I182" s="136">
        <v>104338.24</v>
      </c>
      <c r="J182" s="136">
        <v>104338.24</v>
      </c>
      <c r="K182" s="136">
        <v>104338.24</v>
      </c>
      <c r="L182" s="136">
        <v>104338.24</v>
      </c>
      <c r="M182" s="136">
        <v>104338.24</v>
      </c>
      <c r="N182" s="4">
        <f t="shared" si="51"/>
        <v>1252058.8800000001</v>
      </c>
      <c r="P182" s="65"/>
      <c r="Q182" s="81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</row>
    <row r="183" spans="1:34" s="6" customFormat="1" ht="12" customHeight="1">
      <c r="A183" s="3" t="s">
        <v>238</v>
      </c>
      <c r="B183" s="136">
        <v>104338.24</v>
      </c>
      <c r="C183" s="136">
        <v>104338.24</v>
      </c>
      <c r="D183" s="136">
        <v>104338.24</v>
      </c>
      <c r="E183" s="136">
        <v>104338.24</v>
      </c>
      <c r="F183" s="136">
        <v>104338.24</v>
      </c>
      <c r="G183" s="136">
        <v>104338.24</v>
      </c>
      <c r="H183" s="136">
        <v>104338.24</v>
      </c>
      <c r="I183" s="136">
        <v>104338.24</v>
      </c>
      <c r="J183" s="136">
        <v>104338.24</v>
      </c>
      <c r="K183" s="136">
        <v>104338.24</v>
      </c>
      <c r="L183" s="136">
        <v>104338.24</v>
      </c>
      <c r="M183" s="136">
        <v>104338.24</v>
      </c>
      <c r="N183" s="4">
        <f t="shared" si="51"/>
        <v>1252058.8800000001</v>
      </c>
      <c r="P183" s="65"/>
      <c r="Q183" s="81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</row>
    <row r="184" spans="1:34" s="6" customFormat="1" ht="12" customHeight="1">
      <c r="A184" s="3" t="s">
        <v>240</v>
      </c>
      <c r="B184" s="136">
        <v>104338.24</v>
      </c>
      <c r="C184" s="136">
        <v>104338.24</v>
      </c>
      <c r="D184" s="136">
        <v>104338.24</v>
      </c>
      <c r="E184" s="136">
        <v>104338.24</v>
      </c>
      <c r="F184" s="136">
        <v>104338.24</v>
      </c>
      <c r="G184" s="136">
        <v>104338.24</v>
      </c>
      <c r="H184" s="136">
        <v>104338.24</v>
      </c>
      <c r="I184" s="136">
        <v>104338.24</v>
      </c>
      <c r="J184" s="136">
        <v>104338.24</v>
      </c>
      <c r="K184" s="136">
        <v>104338.24</v>
      </c>
      <c r="L184" s="136">
        <v>104338.24</v>
      </c>
      <c r="M184" s="136">
        <v>104338.24</v>
      </c>
      <c r="N184" s="4">
        <f t="shared" si="51"/>
        <v>1252058.8800000001</v>
      </c>
      <c r="P184" s="65"/>
      <c r="Q184" s="81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</row>
    <row r="185" spans="1:34" s="6" customFormat="1" ht="12">
      <c r="A185" s="3" t="s">
        <v>241</v>
      </c>
      <c r="B185" s="136">
        <v>104338.24</v>
      </c>
      <c r="C185" s="136">
        <v>104338.24</v>
      </c>
      <c r="D185" s="136">
        <v>104338.24</v>
      </c>
      <c r="E185" s="136">
        <v>104338.24</v>
      </c>
      <c r="F185" s="136">
        <v>104338.24</v>
      </c>
      <c r="G185" s="136">
        <v>104338.24</v>
      </c>
      <c r="H185" s="136">
        <v>104338.24</v>
      </c>
      <c r="I185" s="136">
        <v>104338.24</v>
      </c>
      <c r="J185" s="136">
        <v>104338.24</v>
      </c>
      <c r="K185" s="136">
        <v>104338.24</v>
      </c>
      <c r="L185" s="136">
        <v>104338.24</v>
      </c>
      <c r="M185" s="136">
        <v>104338.24</v>
      </c>
      <c r="N185" s="4">
        <f t="shared" si="51"/>
        <v>1252058.8800000001</v>
      </c>
      <c r="P185" s="65"/>
      <c r="Q185" s="81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</row>
    <row r="186" spans="1:34" s="6" customFormat="1" ht="12" customHeight="1">
      <c r="A186" s="3" t="s">
        <v>243</v>
      </c>
      <c r="B186" s="136">
        <v>104338.24</v>
      </c>
      <c r="C186" s="136">
        <v>104338.24</v>
      </c>
      <c r="D186" s="136">
        <v>104338.24</v>
      </c>
      <c r="E186" s="136">
        <v>104338.24</v>
      </c>
      <c r="F186" s="136">
        <v>104338.24</v>
      </c>
      <c r="G186" s="136">
        <v>104338.24</v>
      </c>
      <c r="H186" s="136">
        <v>104338.24</v>
      </c>
      <c r="I186" s="136">
        <v>104338.24</v>
      </c>
      <c r="J186" s="136">
        <v>104338.24</v>
      </c>
      <c r="K186" s="136">
        <v>104338.24</v>
      </c>
      <c r="L186" s="136">
        <v>104338.24</v>
      </c>
      <c r="M186" s="136">
        <v>104338.24</v>
      </c>
      <c r="N186" s="4">
        <f t="shared" si="51"/>
        <v>1252058.8800000001</v>
      </c>
      <c r="P186" s="65"/>
      <c r="Q186" s="81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</row>
    <row r="187" spans="1:34" s="6" customFormat="1" ht="12" customHeight="1">
      <c r="A187" s="3" t="s">
        <v>244</v>
      </c>
      <c r="B187" s="136">
        <v>104338.24</v>
      </c>
      <c r="C187" s="136">
        <v>104338.24</v>
      </c>
      <c r="D187" s="136">
        <v>104338.24</v>
      </c>
      <c r="E187" s="136">
        <v>104338.24</v>
      </c>
      <c r="F187" s="136">
        <v>104338.24</v>
      </c>
      <c r="G187" s="136">
        <v>104338.24</v>
      </c>
      <c r="H187" s="136">
        <v>104338.24</v>
      </c>
      <c r="I187" s="136">
        <v>104338.24</v>
      </c>
      <c r="J187" s="136">
        <v>104338.24</v>
      </c>
      <c r="K187" s="136">
        <v>104338.24</v>
      </c>
      <c r="L187" s="136">
        <v>104338.24</v>
      </c>
      <c r="M187" s="136">
        <v>104338.24</v>
      </c>
      <c r="N187" s="4">
        <f t="shared" si="51"/>
        <v>1252058.8800000001</v>
      </c>
      <c r="P187" s="65"/>
      <c r="Q187" s="81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</row>
    <row r="188" spans="1:34" s="6" customFormat="1" ht="12" customHeight="1">
      <c r="A188" s="3" t="s">
        <v>245</v>
      </c>
      <c r="B188" s="136">
        <v>104338.24</v>
      </c>
      <c r="C188" s="136">
        <v>104338.24</v>
      </c>
      <c r="D188" s="136">
        <v>104338.24</v>
      </c>
      <c r="E188" s="136">
        <v>104338.24</v>
      </c>
      <c r="F188" s="136">
        <v>104338.24</v>
      </c>
      <c r="G188" s="136">
        <v>104338.24</v>
      </c>
      <c r="H188" s="136">
        <v>104338.24</v>
      </c>
      <c r="I188" s="136">
        <v>104338.24</v>
      </c>
      <c r="J188" s="136">
        <v>104338.24</v>
      </c>
      <c r="K188" s="136">
        <v>104338.24</v>
      </c>
      <c r="L188" s="136">
        <v>104338.24</v>
      </c>
      <c r="M188" s="136">
        <v>104338.24</v>
      </c>
      <c r="N188" s="4">
        <f t="shared" si="51"/>
        <v>1252058.8800000001</v>
      </c>
      <c r="P188" s="65"/>
      <c r="Q188" s="81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</row>
    <row r="189" spans="1:34" s="6" customFormat="1" ht="12" customHeight="1">
      <c r="A189" s="3" t="s">
        <v>246</v>
      </c>
      <c r="B189" s="136">
        <v>104338.24</v>
      </c>
      <c r="C189" s="136">
        <v>104338.24</v>
      </c>
      <c r="D189" s="136">
        <v>104338.24</v>
      </c>
      <c r="E189" s="136">
        <v>104338.24</v>
      </c>
      <c r="F189" s="136">
        <v>104338.24</v>
      </c>
      <c r="G189" s="136">
        <v>104338.24</v>
      </c>
      <c r="H189" s="136">
        <v>104338.24</v>
      </c>
      <c r="I189" s="136">
        <v>104338.24</v>
      </c>
      <c r="J189" s="136">
        <v>104338.24</v>
      </c>
      <c r="K189" s="136">
        <v>104338.24</v>
      </c>
      <c r="L189" s="136">
        <v>104338.24</v>
      </c>
      <c r="M189" s="136">
        <v>104338.24</v>
      </c>
      <c r="N189" s="4">
        <f t="shared" si="51"/>
        <v>1252058.8800000001</v>
      </c>
      <c r="P189" s="65"/>
      <c r="Q189" s="81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</row>
    <row r="190" spans="1:34" s="6" customFormat="1" ht="12" customHeight="1">
      <c r="A190" s="3" t="s">
        <v>247</v>
      </c>
      <c r="B190" s="136">
        <v>104338.24</v>
      </c>
      <c r="C190" s="136">
        <v>104338.24</v>
      </c>
      <c r="D190" s="136">
        <v>104338.24</v>
      </c>
      <c r="E190" s="136">
        <v>104338.24</v>
      </c>
      <c r="F190" s="136">
        <v>104338.24</v>
      </c>
      <c r="G190" s="136">
        <v>104338.24</v>
      </c>
      <c r="H190" s="136">
        <v>104338.24</v>
      </c>
      <c r="I190" s="136">
        <v>104338.24</v>
      </c>
      <c r="J190" s="136">
        <v>104338.24</v>
      </c>
      <c r="K190" s="136">
        <v>104338.24</v>
      </c>
      <c r="L190" s="136">
        <v>104338.24</v>
      </c>
      <c r="M190" s="136">
        <v>104338.24</v>
      </c>
      <c r="N190" s="4">
        <f t="shared" si="51"/>
        <v>1252058.8800000001</v>
      </c>
      <c r="P190" s="65"/>
      <c r="Q190" s="81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</row>
    <row r="191" spans="1:34" s="6" customFormat="1" ht="12" customHeight="1">
      <c r="A191" s="3" t="s">
        <v>296</v>
      </c>
      <c r="B191" s="136">
        <v>104338.24</v>
      </c>
      <c r="C191" s="136">
        <v>104338.24</v>
      </c>
      <c r="D191" s="136">
        <v>104338.24</v>
      </c>
      <c r="E191" s="136">
        <v>104338.24</v>
      </c>
      <c r="F191" s="136">
        <v>104338.24</v>
      </c>
      <c r="G191" s="136">
        <v>104338.24</v>
      </c>
      <c r="H191" s="136">
        <v>104338.24</v>
      </c>
      <c r="I191" s="136">
        <v>104338.24</v>
      </c>
      <c r="J191" s="136">
        <v>104338.24</v>
      </c>
      <c r="K191" s="136">
        <v>104338.24</v>
      </c>
      <c r="L191" s="136">
        <v>104338.24</v>
      </c>
      <c r="M191" s="136">
        <v>104338.24</v>
      </c>
      <c r="N191" s="4">
        <f t="shared" si="51"/>
        <v>1252058.8800000001</v>
      </c>
      <c r="P191" s="65"/>
      <c r="Q191" s="81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</row>
    <row r="192" spans="1:34" s="6" customFormat="1" ht="12" customHeight="1">
      <c r="A192" s="3" t="s">
        <v>249</v>
      </c>
      <c r="B192" s="136">
        <v>104338.24</v>
      </c>
      <c r="C192" s="136">
        <v>104338.24</v>
      </c>
      <c r="D192" s="136">
        <v>104338.24</v>
      </c>
      <c r="E192" s="136">
        <v>104338.24</v>
      </c>
      <c r="F192" s="136">
        <v>104338.24</v>
      </c>
      <c r="G192" s="136">
        <v>104338.24</v>
      </c>
      <c r="H192" s="136">
        <v>104338.24</v>
      </c>
      <c r="I192" s="136">
        <v>104338.24</v>
      </c>
      <c r="J192" s="136">
        <v>104338.24</v>
      </c>
      <c r="K192" s="136">
        <v>104338.24</v>
      </c>
      <c r="L192" s="136">
        <v>104338.24</v>
      </c>
      <c r="M192" s="136">
        <v>104338.24</v>
      </c>
      <c r="N192" s="4">
        <f t="shared" si="51"/>
        <v>1252058.8800000001</v>
      </c>
      <c r="P192" s="65"/>
      <c r="Q192" s="81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</row>
    <row r="193" spans="1:34" s="6" customFormat="1" ht="12">
      <c r="A193" s="3" t="s">
        <v>250</v>
      </c>
      <c r="B193" s="136">
        <v>104338.24</v>
      </c>
      <c r="C193" s="136">
        <v>104338.24</v>
      </c>
      <c r="D193" s="136">
        <v>104338.24</v>
      </c>
      <c r="E193" s="136">
        <v>104338.24</v>
      </c>
      <c r="F193" s="136">
        <v>104338.24</v>
      </c>
      <c r="G193" s="136">
        <v>104338.24</v>
      </c>
      <c r="H193" s="136">
        <v>104338.24</v>
      </c>
      <c r="I193" s="136">
        <v>104338.24</v>
      </c>
      <c r="J193" s="136">
        <v>104338.24</v>
      </c>
      <c r="K193" s="136">
        <v>104338.24</v>
      </c>
      <c r="L193" s="136">
        <v>104338.24</v>
      </c>
      <c r="M193" s="136">
        <v>104338.24</v>
      </c>
      <c r="N193" s="4">
        <f t="shared" si="51"/>
        <v>1252058.8800000001</v>
      </c>
      <c r="P193" s="65"/>
      <c r="Q193" s="81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</row>
    <row r="194" spans="1:34" s="6" customFormat="1" ht="12" customHeight="1">
      <c r="A194" s="3" t="s">
        <v>252</v>
      </c>
      <c r="B194" s="136">
        <v>104338.24</v>
      </c>
      <c r="C194" s="136">
        <v>104338.24</v>
      </c>
      <c r="D194" s="136">
        <v>104338.24</v>
      </c>
      <c r="E194" s="136">
        <v>104338.24</v>
      </c>
      <c r="F194" s="136">
        <v>104338.24</v>
      </c>
      <c r="G194" s="136">
        <v>104338.24</v>
      </c>
      <c r="H194" s="136">
        <v>104338.24</v>
      </c>
      <c r="I194" s="136">
        <v>104338.24</v>
      </c>
      <c r="J194" s="136">
        <v>104338.24</v>
      </c>
      <c r="K194" s="136">
        <v>104338.24</v>
      </c>
      <c r="L194" s="136">
        <v>104338.24</v>
      </c>
      <c r="M194" s="136">
        <v>104338.24</v>
      </c>
      <c r="N194" s="4">
        <f t="shared" si="51"/>
        <v>1252058.8800000001</v>
      </c>
      <c r="P194" s="65"/>
      <c r="Q194" s="81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</row>
    <row r="195" spans="1:34" s="6" customFormat="1" ht="12" customHeight="1">
      <c r="A195" s="3" t="s">
        <v>298</v>
      </c>
      <c r="B195" s="136">
        <v>104338.24</v>
      </c>
      <c r="C195" s="136">
        <v>104338.24</v>
      </c>
      <c r="D195" s="136">
        <v>104338.24</v>
      </c>
      <c r="E195" s="136">
        <v>104338.24</v>
      </c>
      <c r="F195" s="136">
        <v>104338.24</v>
      </c>
      <c r="G195" s="136">
        <v>104338.24</v>
      </c>
      <c r="H195" s="136">
        <v>104338.24</v>
      </c>
      <c r="I195" s="136">
        <v>104338.24</v>
      </c>
      <c r="J195" s="136">
        <v>104338.24</v>
      </c>
      <c r="K195" s="136">
        <v>104338.24</v>
      </c>
      <c r="L195" s="136">
        <v>104338.24</v>
      </c>
      <c r="M195" s="136">
        <v>104338.24</v>
      </c>
      <c r="N195" s="4">
        <f t="shared" si="51"/>
        <v>1252058.8800000001</v>
      </c>
      <c r="P195" s="65"/>
      <c r="Q195" s="81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</row>
    <row r="196" spans="1:34" s="6" customFormat="1" ht="12" customHeight="1">
      <c r="A196" s="3" t="s">
        <v>325</v>
      </c>
      <c r="B196" s="136">
        <v>104338.24</v>
      </c>
      <c r="C196" s="136">
        <v>104338.24</v>
      </c>
      <c r="D196" s="136">
        <v>104338.24</v>
      </c>
      <c r="E196" s="136">
        <v>104338.24</v>
      </c>
      <c r="F196" s="136">
        <v>104338.24</v>
      </c>
      <c r="G196" s="136">
        <v>104338.24</v>
      </c>
      <c r="H196" s="136">
        <v>104338.24</v>
      </c>
      <c r="I196" s="136">
        <v>104338.24</v>
      </c>
      <c r="J196" s="136">
        <v>104338.24</v>
      </c>
      <c r="K196" s="136">
        <v>104338.24</v>
      </c>
      <c r="L196" s="136">
        <v>104338.24</v>
      </c>
      <c r="M196" s="136">
        <v>104338.24</v>
      </c>
      <c r="N196" s="4">
        <f t="shared" si="51"/>
        <v>1252058.8800000001</v>
      </c>
      <c r="P196" s="65"/>
      <c r="Q196" s="81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</row>
    <row r="197" spans="1:34" s="6" customFormat="1" ht="12" customHeight="1">
      <c r="A197" s="3" t="s">
        <v>326</v>
      </c>
      <c r="B197" s="136">
        <v>104338.24</v>
      </c>
      <c r="C197" s="136">
        <v>104338.24</v>
      </c>
      <c r="D197" s="136">
        <v>104338.24</v>
      </c>
      <c r="E197" s="136">
        <v>104338.24</v>
      </c>
      <c r="F197" s="136">
        <v>104338.24</v>
      </c>
      <c r="G197" s="136">
        <v>104338.24</v>
      </c>
      <c r="H197" s="136">
        <v>104338.24</v>
      </c>
      <c r="I197" s="136">
        <v>104338.24</v>
      </c>
      <c r="J197" s="136">
        <v>104338.24</v>
      </c>
      <c r="K197" s="136">
        <v>104338.24</v>
      </c>
      <c r="L197" s="136">
        <v>104338.24</v>
      </c>
      <c r="M197" s="136">
        <v>104338.24</v>
      </c>
      <c r="N197" s="4">
        <f t="shared" si="51"/>
        <v>1252058.8800000001</v>
      </c>
      <c r="P197" s="65"/>
      <c r="Q197" s="81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</row>
    <row r="198" spans="1:34" s="6" customFormat="1" ht="12" customHeight="1">
      <c r="A198" s="15" t="s">
        <v>97</v>
      </c>
      <c r="B198" s="137">
        <f>SUM(B199:B215)</f>
        <v>3514584.419999999</v>
      </c>
      <c r="C198" s="137">
        <f>SUM(C199:C215)</f>
        <v>3514584.419999999</v>
      </c>
      <c r="D198" s="137">
        <f aca="true" t="shared" si="57" ref="D198:M198">SUM(D199:D215)</f>
        <v>3514584.419999999</v>
      </c>
      <c r="E198" s="137">
        <f t="shared" si="57"/>
        <v>3514584.419999999</v>
      </c>
      <c r="F198" s="137">
        <f t="shared" si="57"/>
        <v>3514584.419999999</v>
      </c>
      <c r="G198" s="137">
        <f t="shared" si="57"/>
        <v>3514584.419999999</v>
      </c>
      <c r="H198" s="137">
        <f t="shared" si="57"/>
        <v>3514584.419999999</v>
      </c>
      <c r="I198" s="137">
        <f t="shared" si="57"/>
        <v>3514584.419999999</v>
      </c>
      <c r="J198" s="137">
        <f t="shared" si="57"/>
        <v>3514584.419999999</v>
      </c>
      <c r="K198" s="137">
        <f t="shared" si="57"/>
        <v>3514584.419999999</v>
      </c>
      <c r="L198" s="137">
        <f t="shared" si="57"/>
        <v>3514584.419999999</v>
      </c>
      <c r="M198" s="137">
        <f t="shared" si="57"/>
        <v>3514584.419999999</v>
      </c>
      <c r="N198" s="16">
        <f t="shared" si="51"/>
        <v>42175013.03999999</v>
      </c>
      <c r="P198" s="65">
        <f>SUM(B198:I198)</f>
        <v>28116675.35999999</v>
      </c>
      <c r="Q198" s="81"/>
      <c r="R198" s="115">
        <f>'[1]Ejecución Indotel'!$BL$36</f>
        <v>1112987</v>
      </c>
      <c r="S198" s="115">
        <f>SUM(N199:N215)</f>
        <v>42175013.04</v>
      </c>
      <c r="T198" s="115">
        <f>S198-N198</f>
        <v>0</v>
      </c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 t="e">
        <f>N198+#REF!</f>
        <v>#REF!</v>
      </c>
    </row>
    <row r="199" spans="1:34" s="5" customFormat="1" ht="12">
      <c r="A199" s="3" t="s">
        <v>236</v>
      </c>
      <c r="B199" s="255">
        <v>206740.26</v>
      </c>
      <c r="C199" s="255">
        <v>206740.26</v>
      </c>
      <c r="D199" s="255">
        <v>206740.26</v>
      </c>
      <c r="E199" s="255">
        <v>206740.26</v>
      </c>
      <c r="F199" s="255">
        <v>206740.26</v>
      </c>
      <c r="G199" s="255">
        <v>206740.26</v>
      </c>
      <c r="H199" s="255">
        <v>206740.26</v>
      </c>
      <c r="I199" s="255">
        <v>206740.26</v>
      </c>
      <c r="J199" s="255">
        <v>206740.26</v>
      </c>
      <c r="K199" s="255">
        <v>206740.26</v>
      </c>
      <c r="L199" s="255">
        <v>206740.26</v>
      </c>
      <c r="M199" s="255">
        <v>206740.26</v>
      </c>
      <c r="N199" s="16">
        <f t="shared" si="51"/>
        <v>2480883.12</v>
      </c>
      <c r="P199" s="76"/>
      <c r="Q199" s="80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  <c r="AD199" s="114"/>
      <c r="AE199" s="114"/>
      <c r="AF199" s="114"/>
      <c r="AG199" s="114"/>
      <c r="AH199" s="114"/>
    </row>
    <row r="200" spans="1:34" s="5" customFormat="1" ht="12" customHeight="1">
      <c r="A200" s="3" t="s">
        <v>237</v>
      </c>
      <c r="B200" s="255">
        <v>206740.26</v>
      </c>
      <c r="C200" s="255">
        <v>206740.26</v>
      </c>
      <c r="D200" s="255">
        <v>206740.26</v>
      </c>
      <c r="E200" s="255">
        <v>206740.26</v>
      </c>
      <c r="F200" s="255">
        <v>206740.26</v>
      </c>
      <c r="G200" s="255">
        <v>206740.26</v>
      </c>
      <c r="H200" s="255">
        <v>206740.26</v>
      </c>
      <c r="I200" s="255">
        <v>206740.26</v>
      </c>
      <c r="J200" s="255">
        <v>206740.26</v>
      </c>
      <c r="K200" s="255">
        <v>206740.26</v>
      </c>
      <c r="L200" s="255">
        <v>206740.26</v>
      </c>
      <c r="M200" s="255">
        <v>206740.26</v>
      </c>
      <c r="N200" s="4">
        <f t="shared" si="51"/>
        <v>2480883.12</v>
      </c>
      <c r="P200" s="76"/>
      <c r="Q200" s="80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  <c r="AD200" s="114"/>
      <c r="AE200" s="114"/>
      <c r="AF200" s="114"/>
      <c r="AG200" s="114"/>
      <c r="AH200" s="114"/>
    </row>
    <row r="201" spans="1:34" s="5" customFormat="1" ht="12" customHeight="1">
      <c r="A201" s="3" t="s">
        <v>238</v>
      </c>
      <c r="B201" s="255">
        <v>206740.26</v>
      </c>
      <c r="C201" s="255">
        <v>206740.26</v>
      </c>
      <c r="D201" s="255">
        <v>206740.26</v>
      </c>
      <c r="E201" s="255">
        <v>206740.26</v>
      </c>
      <c r="F201" s="255">
        <v>206740.26</v>
      </c>
      <c r="G201" s="255">
        <v>206740.26</v>
      </c>
      <c r="H201" s="255">
        <v>206740.26</v>
      </c>
      <c r="I201" s="255">
        <v>206740.26</v>
      </c>
      <c r="J201" s="255">
        <v>206740.26</v>
      </c>
      <c r="K201" s="255">
        <v>206740.26</v>
      </c>
      <c r="L201" s="255">
        <v>206740.26</v>
      </c>
      <c r="M201" s="255">
        <v>206740.26</v>
      </c>
      <c r="N201" s="4">
        <f t="shared" si="51"/>
        <v>2480883.12</v>
      </c>
      <c r="P201" s="76"/>
      <c r="Q201" s="80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/>
      <c r="AH201" s="114"/>
    </row>
    <row r="202" spans="1:34" s="5" customFormat="1" ht="12" customHeight="1">
      <c r="A202" s="3" t="s">
        <v>240</v>
      </c>
      <c r="B202" s="255">
        <v>206740.26</v>
      </c>
      <c r="C202" s="255">
        <v>206740.26</v>
      </c>
      <c r="D202" s="255">
        <v>206740.26</v>
      </c>
      <c r="E202" s="255">
        <v>206740.26</v>
      </c>
      <c r="F202" s="255">
        <v>206740.26</v>
      </c>
      <c r="G202" s="255">
        <v>206740.26</v>
      </c>
      <c r="H202" s="255">
        <v>206740.26</v>
      </c>
      <c r="I202" s="255">
        <v>206740.26</v>
      </c>
      <c r="J202" s="255">
        <v>206740.26</v>
      </c>
      <c r="K202" s="255">
        <v>206740.26</v>
      </c>
      <c r="L202" s="255">
        <v>206740.26</v>
      </c>
      <c r="M202" s="255">
        <v>206740.26</v>
      </c>
      <c r="N202" s="4">
        <f t="shared" si="51"/>
        <v>2480883.12</v>
      </c>
      <c r="P202" s="76"/>
      <c r="Q202" s="80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  <c r="AD202" s="114"/>
      <c r="AE202" s="114"/>
      <c r="AF202" s="114"/>
      <c r="AG202" s="114"/>
      <c r="AH202" s="114"/>
    </row>
    <row r="203" spans="1:34" s="5" customFormat="1" ht="12">
      <c r="A203" s="3" t="s">
        <v>241</v>
      </c>
      <c r="B203" s="255">
        <v>206740.26</v>
      </c>
      <c r="C203" s="255">
        <v>206740.26</v>
      </c>
      <c r="D203" s="255">
        <v>206740.26</v>
      </c>
      <c r="E203" s="255">
        <v>206740.26</v>
      </c>
      <c r="F203" s="255">
        <v>206740.26</v>
      </c>
      <c r="G203" s="255">
        <v>206740.26</v>
      </c>
      <c r="H203" s="255">
        <v>206740.26</v>
      </c>
      <c r="I203" s="255">
        <v>206740.26</v>
      </c>
      <c r="J203" s="255">
        <v>206740.26</v>
      </c>
      <c r="K203" s="255">
        <v>206740.26</v>
      </c>
      <c r="L203" s="255">
        <v>206740.26</v>
      </c>
      <c r="M203" s="255">
        <v>206740.26</v>
      </c>
      <c r="N203" s="4">
        <f t="shared" si="51"/>
        <v>2480883.12</v>
      </c>
      <c r="P203" s="76"/>
      <c r="Q203" s="80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</row>
    <row r="204" spans="1:34" s="5" customFormat="1" ht="12" customHeight="1">
      <c r="A204" s="3" t="s">
        <v>243</v>
      </c>
      <c r="B204" s="255">
        <v>206740.26</v>
      </c>
      <c r="C204" s="255">
        <v>206740.26</v>
      </c>
      <c r="D204" s="255">
        <v>206740.26</v>
      </c>
      <c r="E204" s="255">
        <v>206740.26</v>
      </c>
      <c r="F204" s="255">
        <v>206740.26</v>
      </c>
      <c r="G204" s="255">
        <v>206740.26</v>
      </c>
      <c r="H204" s="255">
        <v>206740.26</v>
      </c>
      <c r="I204" s="255">
        <v>206740.26</v>
      </c>
      <c r="J204" s="255">
        <v>206740.26</v>
      </c>
      <c r="K204" s="255">
        <v>206740.26</v>
      </c>
      <c r="L204" s="255">
        <v>206740.26</v>
      </c>
      <c r="M204" s="255">
        <v>206740.26</v>
      </c>
      <c r="N204" s="4">
        <f t="shared" si="51"/>
        <v>2480883.12</v>
      </c>
      <c r="P204" s="76"/>
      <c r="Q204" s="80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</row>
    <row r="205" spans="1:34" s="5" customFormat="1" ht="12" customHeight="1">
      <c r="A205" s="3" t="s">
        <v>244</v>
      </c>
      <c r="B205" s="255">
        <v>206740.26</v>
      </c>
      <c r="C205" s="255">
        <v>206740.26</v>
      </c>
      <c r="D205" s="255">
        <v>206740.26</v>
      </c>
      <c r="E205" s="255">
        <v>206740.26</v>
      </c>
      <c r="F205" s="255">
        <v>206740.26</v>
      </c>
      <c r="G205" s="255">
        <v>206740.26</v>
      </c>
      <c r="H205" s="255">
        <v>206740.26</v>
      </c>
      <c r="I205" s="255">
        <v>206740.26</v>
      </c>
      <c r="J205" s="255">
        <v>206740.26</v>
      </c>
      <c r="K205" s="255">
        <v>206740.26</v>
      </c>
      <c r="L205" s="255">
        <v>206740.26</v>
      </c>
      <c r="M205" s="255">
        <v>206740.26</v>
      </c>
      <c r="N205" s="4">
        <f t="shared" si="51"/>
        <v>2480883.12</v>
      </c>
      <c r="P205" s="76"/>
      <c r="Q205" s="80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  <c r="AD205" s="114"/>
      <c r="AE205" s="114"/>
      <c r="AF205" s="114"/>
      <c r="AG205" s="114"/>
      <c r="AH205" s="114"/>
    </row>
    <row r="206" spans="1:34" s="5" customFormat="1" ht="12" customHeight="1">
      <c r="A206" s="3" t="s">
        <v>245</v>
      </c>
      <c r="B206" s="255">
        <v>206740.26</v>
      </c>
      <c r="C206" s="255">
        <v>206740.26</v>
      </c>
      <c r="D206" s="255">
        <v>206740.26</v>
      </c>
      <c r="E206" s="255">
        <v>206740.26</v>
      </c>
      <c r="F206" s="255">
        <v>206740.26</v>
      </c>
      <c r="G206" s="255">
        <v>206740.26</v>
      </c>
      <c r="H206" s="255">
        <v>206740.26</v>
      </c>
      <c r="I206" s="255">
        <v>206740.26</v>
      </c>
      <c r="J206" s="255">
        <v>206740.26</v>
      </c>
      <c r="K206" s="255">
        <v>206740.26</v>
      </c>
      <c r="L206" s="255">
        <v>206740.26</v>
      </c>
      <c r="M206" s="255">
        <v>206740.26</v>
      </c>
      <c r="N206" s="4">
        <f t="shared" si="51"/>
        <v>2480883.12</v>
      </c>
      <c r="P206" s="76"/>
      <c r="Q206" s="80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  <c r="AC206" s="114"/>
      <c r="AD206" s="114"/>
      <c r="AE206" s="114"/>
      <c r="AF206" s="114"/>
      <c r="AG206" s="114"/>
      <c r="AH206" s="114"/>
    </row>
    <row r="207" spans="1:34" s="5" customFormat="1" ht="12" customHeight="1">
      <c r="A207" s="3" t="s">
        <v>246</v>
      </c>
      <c r="B207" s="255">
        <v>206740.26</v>
      </c>
      <c r="C207" s="255">
        <v>206740.26</v>
      </c>
      <c r="D207" s="255">
        <v>206740.26</v>
      </c>
      <c r="E207" s="255">
        <v>206740.26</v>
      </c>
      <c r="F207" s="255">
        <v>206740.26</v>
      </c>
      <c r="G207" s="255">
        <v>206740.26</v>
      </c>
      <c r="H207" s="255">
        <v>206740.26</v>
      </c>
      <c r="I207" s="255">
        <v>206740.26</v>
      </c>
      <c r="J207" s="255">
        <v>206740.26</v>
      </c>
      <c r="K207" s="255">
        <v>206740.26</v>
      </c>
      <c r="L207" s="255">
        <v>206740.26</v>
      </c>
      <c r="M207" s="255">
        <v>206740.26</v>
      </c>
      <c r="N207" s="4">
        <f t="shared" si="51"/>
        <v>2480883.12</v>
      </c>
      <c r="P207" s="76"/>
      <c r="Q207" s="80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/>
      <c r="AH207" s="114"/>
    </row>
    <row r="208" spans="1:34" s="5" customFormat="1" ht="12" customHeight="1">
      <c r="A208" s="3" t="s">
        <v>247</v>
      </c>
      <c r="B208" s="255">
        <v>206740.26</v>
      </c>
      <c r="C208" s="255">
        <v>206740.26</v>
      </c>
      <c r="D208" s="255">
        <v>206740.26</v>
      </c>
      <c r="E208" s="255">
        <v>206740.26</v>
      </c>
      <c r="F208" s="255">
        <v>206740.26</v>
      </c>
      <c r="G208" s="255">
        <v>206740.26</v>
      </c>
      <c r="H208" s="255">
        <v>206740.26</v>
      </c>
      <c r="I208" s="255">
        <v>206740.26</v>
      </c>
      <c r="J208" s="255">
        <v>206740.26</v>
      </c>
      <c r="K208" s="255">
        <v>206740.26</v>
      </c>
      <c r="L208" s="255">
        <v>206740.26</v>
      </c>
      <c r="M208" s="255">
        <v>206740.26</v>
      </c>
      <c r="N208" s="4">
        <f aca="true" t="shared" si="58" ref="N208:N215">SUM(B208:M208)</f>
        <v>2480883.12</v>
      </c>
      <c r="P208" s="76"/>
      <c r="Q208" s="80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/>
      <c r="AH208" s="114"/>
    </row>
    <row r="209" spans="1:34" s="5" customFormat="1" ht="12" customHeight="1">
      <c r="A209" s="3" t="s">
        <v>296</v>
      </c>
      <c r="B209" s="255">
        <v>206740.26</v>
      </c>
      <c r="C209" s="255">
        <v>206740.26</v>
      </c>
      <c r="D209" s="255">
        <v>206740.26</v>
      </c>
      <c r="E209" s="255">
        <v>206740.26</v>
      </c>
      <c r="F209" s="255">
        <v>206740.26</v>
      </c>
      <c r="G209" s="255">
        <v>206740.26</v>
      </c>
      <c r="H209" s="255">
        <v>206740.26</v>
      </c>
      <c r="I209" s="255">
        <v>206740.26</v>
      </c>
      <c r="J209" s="255">
        <v>206740.26</v>
      </c>
      <c r="K209" s="255">
        <v>206740.26</v>
      </c>
      <c r="L209" s="255">
        <v>206740.26</v>
      </c>
      <c r="M209" s="255">
        <v>206740.26</v>
      </c>
      <c r="N209" s="4">
        <f t="shared" si="58"/>
        <v>2480883.12</v>
      </c>
      <c r="P209" s="76"/>
      <c r="Q209" s="80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/>
      <c r="AH209" s="114"/>
    </row>
    <row r="210" spans="1:35" s="5" customFormat="1" ht="12" customHeight="1">
      <c r="A210" s="3" t="s">
        <v>249</v>
      </c>
      <c r="B210" s="255">
        <v>206740.26</v>
      </c>
      <c r="C210" s="255">
        <v>206740.26</v>
      </c>
      <c r="D210" s="255">
        <v>206740.26</v>
      </c>
      <c r="E210" s="255">
        <v>206740.26</v>
      </c>
      <c r="F210" s="255">
        <v>206740.26</v>
      </c>
      <c r="G210" s="255">
        <v>206740.26</v>
      </c>
      <c r="H210" s="255">
        <v>206740.26</v>
      </c>
      <c r="I210" s="255">
        <v>206740.26</v>
      </c>
      <c r="J210" s="255">
        <v>206740.26</v>
      </c>
      <c r="K210" s="255">
        <v>206740.26</v>
      </c>
      <c r="L210" s="255">
        <v>206740.26</v>
      </c>
      <c r="M210" s="255">
        <v>206740.26</v>
      </c>
      <c r="N210" s="4">
        <f t="shared" si="58"/>
        <v>2480883.12</v>
      </c>
      <c r="P210" s="76"/>
      <c r="Q210" s="80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  <c r="AC210" s="114"/>
      <c r="AD210" s="114"/>
      <c r="AE210" s="114"/>
      <c r="AF210" s="114"/>
      <c r="AG210" s="114"/>
      <c r="AH210" s="114">
        <f>N198-14262702</f>
        <v>27912311.03999999</v>
      </c>
      <c r="AI210" s="5">
        <f>AH210/12</f>
        <v>2326025.9199999995</v>
      </c>
    </row>
    <row r="211" spans="1:34" s="5" customFormat="1" ht="12">
      <c r="A211" s="3" t="s">
        <v>250</v>
      </c>
      <c r="B211" s="255">
        <v>206740.26</v>
      </c>
      <c r="C211" s="255">
        <v>206740.26</v>
      </c>
      <c r="D211" s="255">
        <v>206740.26</v>
      </c>
      <c r="E211" s="255">
        <v>206740.26</v>
      </c>
      <c r="F211" s="255">
        <v>206740.26</v>
      </c>
      <c r="G211" s="255">
        <v>206740.26</v>
      </c>
      <c r="H211" s="255">
        <v>206740.26</v>
      </c>
      <c r="I211" s="255">
        <v>206740.26</v>
      </c>
      <c r="J211" s="255">
        <v>206740.26</v>
      </c>
      <c r="K211" s="255">
        <v>206740.26</v>
      </c>
      <c r="L211" s="255">
        <v>206740.26</v>
      </c>
      <c r="M211" s="255">
        <v>206740.26</v>
      </c>
      <c r="N211" s="4">
        <f t="shared" si="58"/>
        <v>2480883.12</v>
      </c>
      <c r="P211" s="76"/>
      <c r="Q211" s="80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</row>
    <row r="212" spans="1:34" s="5" customFormat="1" ht="12" customHeight="1">
      <c r="A212" s="3" t="s">
        <v>252</v>
      </c>
      <c r="B212" s="255">
        <v>206740.26</v>
      </c>
      <c r="C212" s="255">
        <v>206740.26</v>
      </c>
      <c r="D212" s="255">
        <v>206740.26</v>
      </c>
      <c r="E212" s="255">
        <v>206740.26</v>
      </c>
      <c r="F212" s="255">
        <v>206740.26</v>
      </c>
      <c r="G212" s="255">
        <v>206740.26</v>
      </c>
      <c r="H212" s="255">
        <v>206740.26</v>
      </c>
      <c r="I212" s="255">
        <v>206740.26</v>
      </c>
      <c r="J212" s="255">
        <v>206740.26</v>
      </c>
      <c r="K212" s="255">
        <v>206740.26</v>
      </c>
      <c r="L212" s="255">
        <v>206740.26</v>
      </c>
      <c r="M212" s="255">
        <v>206740.26</v>
      </c>
      <c r="N212" s="4">
        <f t="shared" si="58"/>
        <v>2480883.12</v>
      </c>
      <c r="P212" s="76"/>
      <c r="Q212" s="80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  <c r="AC212" s="114"/>
      <c r="AD212" s="114"/>
      <c r="AE212" s="114"/>
      <c r="AF212" s="114"/>
      <c r="AG212" s="114"/>
      <c r="AH212" s="114"/>
    </row>
    <row r="213" spans="1:34" s="5" customFormat="1" ht="12" customHeight="1">
      <c r="A213" s="3" t="s">
        <v>413</v>
      </c>
      <c r="B213" s="255">
        <v>206740.26</v>
      </c>
      <c r="C213" s="255">
        <v>206740.26</v>
      </c>
      <c r="D213" s="255">
        <v>206740.26</v>
      </c>
      <c r="E213" s="255">
        <v>206740.26</v>
      </c>
      <c r="F213" s="255">
        <v>206740.26</v>
      </c>
      <c r="G213" s="255">
        <v>206740.26</v>
      </c>
      <c r="H213" s="255">
        <v>206740.26</v>
      </c>
      <c r="I213" s="255">
        <v>206740.26</v>
      </c>
      <c r="J213" s="255">
        <v>206740.26</v>
      </c>
      <c r="K213" s="255">
        <v>206740.26</v>
      </c>
      <c r="L213" s="255">
        <v>206740.26</v>
      </c>
      <c r="M213" s="255">
        <v>206740.26</v>
      </c>
      <c r="N213" s="4">
        <f t="shared" si="58"/>
        <v>2480883.12</v>
      </c>
      <c r="P213" s="76"/>
      <c r="Q213" s="80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  <c r="AC213" s="114"/>
      <c r="AD213" s="114"/>
      <c r="AE213" s="114"/>
      <c r="AF213" s="114"/>
      <c r="AG213" s="114"/>
      <c r="AH213" s="114"/>
    </row>
    <row r="214" spans="1:34" s="5" customFormat="1" ht="12" customHeight="1">
      <c r="A214" s="3" t="s">
        <v>325</v>
      </c>
      <c r="B214" s="255">
        <v>206740.26</v>
      </c>
      <c r="C214" s="255">
        <v>206740.26</v>
      </c>
      <c r="D214" s="255">
        <v>206740.26</v>
      </c>
      <c r="E214" s="255">
        <v>206740.26</v>
      </c>
      <c r="F214" s="255">
        <v>206740.26</v>
      </c>
      <c r="G214" s="255">
        <v>206740.26</v>
      </c>
      <c r="H214" s="255">
        <v>206740.26</v>
      </c>
      <c r="I214" s="255">
        <v>206740.26</v>
      </c>
      <c r="J214" s="255">
        <v>206740.26</v>
      </c>
      <c r="K214" s="255">
        <v>206740.26</v>
      </c>
      <c r="L214" s="255">
        <v>206740.26</v>
      </c>
      <c r="M214" s="255">
        <v>206740.26</v>
      </c>
      <c r="N214" s="4">
        <f t="shared" si="58"/>
        <v>2480883.12</v>
      </c>
      <c r="O214" s="76">
        <f>O216-N216</f>
        <v>0</v>
      </c>
      <c r="P214" s="76"/>
      <c r="Q214" s="80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</row>
    <row r="215" spans="1:34" s="5" customFormat="1" ht="12" customHeight="1">
      <c r="A215" s="3" t="s">
        <v>326</v>
      </c>
      <c r="B215" s="255">
        <v>206740.26</v>
      </c>
      <c r="C215" s="255">
        <v>206740.26</v>
      </c>
      <c r="D215" s="255">
        <v>206740.26</v>
      </c>
      <c r="E215" s="255">
        <v>206740.26</v>
      </c>
      <c r="F215" s="255">
        <v>206740.26</v>
      </c>
      <c r="G215" s="255">
        <v>206740.26</v>
      </c>
      <c r="H215" s="255">
        <v>206740.26</v>
      </c>
      <c r="I215" s="255">
        <v>206740.26</v>
      </c>
      <c r="J215" s="255">
        <v>206740.26</v>
      </c>
      <c r="K215" s="255">
        <v>206740.26</v>
      </c>
      <c r="L215" s="255">
        <v>206740.26</v>
      </c>
      <c r="M215" s="255">
        <v>206740.26</v>
      </c>
      <c r="N215" s="4">
        <f t="shared" si="58"/>
        <v>2480883.12</v>
      </c>
      <c r="P215" s="76"/>
      <c r="Q215" s="80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</row>
    <row r="216" spans="1:34" s="48" customFormat="1" ht="12" customHeight="1">
      <c r="A216" s="23" t="s">
        <v>177</v>
      </c>
      <c r="B216" s="294">
        <f>B239+B218+B259+B280</f>
        <v>5374213</v>
      </c>
      <c r="C216" s="294">
        <f aca="true" t="shared" si="59" ref="C216:M216">C239+C218+C259+C280</f>
        <v>4345000</v>
      </c>
      <c r="D216" s="294">
        <f t="shared" si="59"/>
        <v>4345000</v>
      </c>
      <c r="E216" s="294">
        <f t="shared" si="59"/>
        <v>5374213</v>
      </c>
      <c r="F216" s="294">
        <f t="shared" si="59"/>
        <v>4345000</v>
      </c>
      <c r="G216" s="294">
        <f t="shared" si="59"/>
        <v>4345000</v>
      </c>
      <c r="H216" s="294">
        <f t="shared" si="59"/>
        <v>5374213</v>
      </c>
      <c r="I216" s="294">
        <f t="shared" si="59"/>
        <v>4345000</v>
      </c>
      <c r="J216" s="294">
        <f t="shared" si="59"/>
        <v>4345000</v>
      </c>
      <c r="K216" s="294">
        <f t="shared" si="59"/>
        <v>5374213</v>
      </c>
      <c r="L216" s="294">
        <f t="shared" si="59"/>
        <v>4345000</v>
      </c>
      <c r="M216" s="294">
        <f t="shared" si="59"/>
        <v>4345000</v>
      </c>
      <c r="N216" s="294">
        <f>N218+N239+N259+N280</f>
        <v>56256852</v>
      </c>
      <c r="O216" s="293">
        <f>SUM(B216:M216)</f>
        <v>56256852</v>
      </c>
      <c r="P216" s="234">
        <f>SUM(B216:I216)</f>
        <v>37847639</v>
      </c>
      <c r="Q216" s="83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</row>
    <row r="217" spans="1:34" s="6" customFormat="1" ht="12" customHeight="1">
      <c r="A217" s="15" t="s">
        <v>524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4"/>
      <c r="P217" s="65"/>
      <c r="Q217" s="81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</row>
    <row r="218" spans="1:34" s="6" customFormat="1" ht="12" customHeight="1">
      <c r="A218" s="15" t="s">
        <v>522</v>
      </c>
      <c r="B218" s="137">
        <v>1029213</v>
      </c>
      <c r="C218" s="137">
        <f>SUM(C219:C238)</f>
        <v>0</v>
      </c>
      <c r="D218" s="137">
        <f aca="true" t="shared" si="60" ref="D218:M218">SUM(D219:D238)</f>
        <v>0</v>
      </c>
      <c r="E218" s="137">
        <v>1029213</v>
      </c>
      <c r="F218" s="137">
        <f t="shared" si="60"/>
        <v>0</v>
      </c>
      <c r="G218" s="137">
        <f t="shared" si="60"/>
        <v>0</v>
      </c>
      <c r="H218" s="137">
        <v>1029213</v>
      </c>
      <c r="I218" s="137">
        <f t="shared" si="60"/>
        <v>0</v>
      </c>
      <c r="J218" s="137">
        <f t="shared" si="60"/>
        <v>0</v>
      </c>
      <c r="K218" s="137">
        <v>1029213</v>
      </c>
      <c r="L218" s="137">
        <f t="shared" si="60"/>
        <v>0</v>
      </c>
      <c r="M218" s="137">
        <f t="shared" si="60"/>
        <v>0</v>
      </c>
      <c r="N218" s="16">
        <f>SUM(B218:M218)</f>
        <v>4116852</v>
      </c>
      <c r="P218" s="65"/>
      <c r="Q218" s="81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</row>
    <row r="219" spans="1:34" s="6" customFormat="1" ht="12" customHeight="1">
      <c r="A219" s="3" t="s">
        <v>669</v>
      </c>
      <c r="B219" s="136">
        <f>1132134.25+72189</f>
        <v>1204323.25</v>
      </c>
      <c r="C219" s="4"/>
      <c r="D219" s="4"/>
      <c r="E219" s="136">
        <f>1132134.25+72189</f>
        <v>1204323.25</v>
      </c>
      <c r="F219" s="4"/>
      <c r="G219" s="4"/>
      <c r="H219" s="136">
        <f>1132134.25+72189</f>
        <v>1204323.25</v>
      </c>
      <c r="I219" s="4"/>
      <c r="J219" s="4"/>
      <c r="K219" s="136">
        <f>1132134.25+72189</f>
        <v>1204323.25</v>
      </c>
      <c r="L219" s="4"/>
      <c r="M219" s="4"/>
      <c r="N219" s="16">
        <f aca="true" t="shared" si="61" ref="N219:N280">SUM(B219:M219)</f>
        <v>4817293</v>
      </c>
      <c r="P219" s="76"/>
      <c r="Q219" s="81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</row>
    <row r="220" spans="1:34" s="6" customFormat="1" ht="12" customHeight="1" hidden="1">
      <c r="A220" s="3" t="s">
        <v>282</v>
      </c>
      <c r="B220" s="136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16">
        <f t="shared" si="61"/>
        <v>0</v>
      </c>
      <c r="P220" s="76"/>
      <c r="Q220" s="81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</row>
    <row r="221" spans="1:34" s="6" customFormat="1" ht="12" customHeight="1" hidden="1">
      <c r="A221" s="3" t="s">
        <v>281</v>
      </c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4"/>
      <c r="N221" s="16">
        <f>SUM(B221:M221)</f>
        <v>0</v>
      </c>
      <c r="P221" s="76"/>
      <c r="Q221" s="81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</row>
    <row r="222" spans="1:34" s="6" customFormat="1" ht="12" customHeight="1" hidden="1">
      <c r="A222" s="3" t="s">
        <v>239</v>
      </c>
      <c r="B222" s="136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16">
        <f t="shared" si="61"/>
        <v>0</v>
      </c>
      <c r="P222" s="76"/>
      <c r="Q222" s="81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</row>
    <row r="223" spans="1:34" s="6" customFormat="1" ht="12" customHeight="1" hidden="1">
      <c r="A223" s="3" t="s">
        <v>240</v>
      </c>
      <c r="B223" s="136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6">
        <f t="shared" si="61"/>
        <v>0</v>
      </c>
      <c r="P223" s="76"/>
      <c r="Q223" s="81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</row>
    <row r="224" spans="1:34" s="6" customFormat="1" ht="12" customHeight="1" hidden="1">
      <c r="A224" s="3" t="s">
        <v>241</v>
      </c>
      <c r="B224" s="136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16">
        <f t="shared" si="61"/>
        <v>0</v>
      </c>
      <c r="P224" s="76"/>
      <c r="Q224" s="81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</row>
    <row r="225" spans="1:34" s="6" customFormat="1" ht="12" customHeight="1" hidden="1">
      <c r="A225" s="3" t="s">
        <v>242</v>
      </c>
      <c r="B225" s="136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6">
        <f t="shared" si="61"/>
        <v>0</v>
      </c>
      <c r="P225" s="76"/>
      <c r="Q225" s="81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</row>
    <row r="226" spans="1:34" s="6" customFormat="1" ht="12" customHeight="1" hidden="1">
      <c r="A226" s="3" t="s">
        <v>243</v>
      </c>
      <c r="B226" s="13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6">
        <f t="shared" si="61"/>
        <v>0</v>
      </c>
      <c r="P226" s="76"/>
      <c r="Q226" s="81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</row>
    <row r="227" spans="1:34" s="6" customFormat="1" ht="12" customHeight="1" hidden="1">
      <c r="A227" s="3" t="s">
        <v>244</v>
      </c>
      <c r="B227" s="136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16">
        <f t="shared" si="61"/>
        <v>0</v>
      </c>
      <c r="P227" s="76"/>
      <c r="Q227" s="81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</row>
    <row r="228" spans="1:34" s="6" customFormat="1" ht="12" customHeight="1" hidden="1">
      <c r="A228" s="3" t="s">
        <v>455</v>
      </c>
      <c r="B228" s="136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6">
        <f t="shared" si="61"/>
        <v>0</v>
      </c>
      <c r="P228" s="76"/>
      <c r="Q228" s="81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</row>
    <row r="229" spans="1:34" s="6" customFormat="1" ht="12" customHeight="1" hidden="1">
      <c r="A229" s="3" t="s">
        <v>280</v>
      </c>
      <c r="B229" s="136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6">
        <f t="shared" si="61"/>
        <v>0</v>
      </c>
      <c r="P229" s="76"/>
      <c r="Q229" s="81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</row>
    <row r="230" spans="1:34" s="6" customFormat="1" ht="12" customHeight="1" hidden="1">
      <c r="A230" s="3" t="s">
        <v>247</v>
      </c>
      <c r="B230" s="136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6">
        <f t="shared" si="61"/>
        <v>0</v>
      </c>
      <c r="P230" s="76"/>
      <c r="Q230" s="81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</row>
    <row r="231" spans="1:34" s="6" customFormat="1" ht="12" customHeight="1" hidden="1">
      <c r="A231" s="3" t="s">
        <v>248</v>
      </c>
      <c r="B231" s="136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6">
        <f t="shared" si="61"/>
        <v>0</v>
      </c>
      <c r="P231" s="76"/>
      <c r="Q231" s="81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</row>
    <row r="232" spans="1:34" s="6" customFormat="1" ht="12" customHeight="1" hidden="1">
      <c r="A232" s="3" t="s">
        <v>299</v>
      </c>
      <c r="B232" s="136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6">
        <f t="shared" si="61"/>
        <v>0</v>
      </c>
      <c r="P232" s="76"/>
      <c r="Q232" s="81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</row>
    <row r="233" spans="1:34" s="6" customFormat="1" ht="12" customHeight="1" hidden="1">
      <c r="A233" s="3" t="s">
        <v>249</v>
      </c>
      <c r="B233" s="136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6">
        <f t="shared" si="61"/>
        <v>0</v>
      </c>
      <c r="P233" s="76"/>
      <c r="Q233" s="81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</row>
    <row r="234" spans="1:34" s="6" customFormat="1" ht="12" customHeight="1" hidden="1">
      <c r="A234" s="3" t="s">
        <v>250</v>
      </c>
      <c r="B234" s="136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6">
        <f t="shared" si="61"/>
        <v>0</v>
      </c>
      <c r="P234" s="76"/>
      <c r="Q234" s="81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</row>
    <row r="235" spans="1:34" s="6" customFormat="1" ht="12" customHeight="1" hidden="1">
      <c r="A235" s="3" t="s">
        <v>251</v>
      </c>
      <c r="B235" s="136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6">
        <f t="shared" si="61"/>
        <v>0</v>
      </c>
      <c r="P235" s="76"/>
      <c r="Q235" s="81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</row>
    <row r="236" spans="1:34" s="6" customFormat="1" ht="12" customHeight="1" hidden="1">
      <c r="A236" s="3" t="s">
        <v>284</v>
      </c>
      <c r="B236" s="136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6">
        <f t="shared" si="61"/>
        <v>0</v>
      </c>
      <c r="P236" s="76"/>
      <c r="Q236" s="81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</row>
    <row r="237" spans="1:34" s="6" customFormat="1" ht="12" customHeight="1" hidden="1">
      <c r="A237" s="3" t="s">
        <v>297</v>
      </c>
      <c r="B237" s="136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6">
        <f t="shared" si="61"/>
        <v>0</v>
      </c>
      <c r="P237" s="76"/>
      <c r="Q237" s="81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</row>
    <row r="238" spans="1:34" s="6" customFormat="1" ht="12" customHeight="1" hidden="1">
      <c r="A238" s="3" t="s">
        <v>454</v>
      </c>
      <c r="B238" s="136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6">
        <f t="shared" si="61"/>
        <v>0</v>
      </c>
      <c r="P238" s="76"/>
      <c r="Q238" s="81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</row>
    <row r="239" spans="1:34" s="6" customFormat="1" ht="12" customHeight="1">
      <c r="A239" s="15" t="s">
        <v>231</v>
      </c>
      <c r="B239" s="137">
        <f>SUM(B240:B258)</f>
        <v>150000</v>
      </c>
      <c r="C239" s="137">
        <f aca="true" t="shared" si="62" ref="C239:L239">SUM(C240:C258)</f>
        <v>150000</v>
      </c>
      <c r="D239" s="137">
        <f t="shared" si="62"/>
        <v>150000</v>
      </c>
      <c r="E239" s="137">
        <f t="shared" si="62"/>
        <v>150000</v>
      </c>
      <c r="F239" s="137">
        <f t="shared" si="62"/>
        <v>150000</v>
      </c>
      <c r="G239" s="137">
        <f t="shared" si="62"/>
        <v>150000</v>
      </c>
      <c r="H239" s="137">
        <f t="shared" si="62"/>
        <v>150000</v>
      </c>
      <c r="I239" s="137">
        <f t="shared" si="62"/>
        <v>150000</v>
      </c>
      <c r="J239" s="137">
        <f t="shared" si="62"/>
        <v>150000</v>
      </c>
      <c r="K239" s="137">
        <f t="shared" si="62"/>
        <v>150000</v>
      </c>
      <c r="L239" s="137">
        <f t="shared" si="62"/>
        <v>150000</v>
      </c>
      <c r="M239" s="137">
        <f>SUM(M240:M256)</f>
        <v>150000</v>
      </c>
      <c r="N239" s="16">
        <f t="shared" si="61"/>
        <v>1800000</v>
      </c>
      <c r="P239" s="65"/>
      <c r="Q239" s="81"/>
      <c r="R239" s="115">
        <f>'[1]Ejecución Indotel'!$BL$27</f>
        <v>31666</v>
      </c>
      <c r="S239" s="115">
        <f>SUM(N240:N256)</f>
        <v>1800000</v>
      </c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</row>
    <row r="240" spans="1:34" s="6" customFormat="1" ht="12" hidden="1">
      <c r="A240" s="3" t="s">
        <v>283</v>
      </c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4">
        <f t="shared" si="61"/>
        <v>0</v>
      </c>
      <c r="P240" s="76"/>
      <c r="Q240" s="81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</row>
    <row r="241" spans="1:34" s="6" customFormat="1" ht="12" customHeight="1" hidden="1">
      <c r="A241" s="3" t="s">
        <v>282</v>
      </c>
      <c r="B241" s="136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>
        <f t="shared" si="61"/>
        <v>0</v>
      </c>
      <c r="P241" s="76"/>
      <c r="Q241" s="81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</row>
    <row r="242" spans="1:34" s="6" customFormat="1" ht="12" customHeight="1">
      <c r="A242" s="3" t="s">
        <v>281</v>
      </c>
      <c r="B242" s="136">
        <v>150000</v>
      </c>
      <c r="C242" s="136">
        <v>150000</v>
      </c>
      <c r="D242" s="136">
        <v>150000</v>
      </c>
      <c r="E242" s="136">
        <v>150000</v>
      </c>
      <c r="F242" s="136">
        <v>150000</v>
      </c>
      <c r="G242" s="136">
        <v>150000</v>
      </c>
      <c r="H242" s="136">
        <v>150000</v>
      </c>
      <c r="I242" s="136">
        <v>150000</v>
      </c>
      <c r="J242" s="136">
        <v>150000</v>
      </c>
      <c r="K242" s="136">
        <v>150000</v>
      </c>
      <c r="L242" s="136">
        <v>150000</v>
      </c>
      <c r="M242" s="136">
        <v>150000</v>
      </c>
      <c r="N242" s="4">
        <f t="shared" si="61"/>
        <v>1800000</v>
      </c>
      <c r="P242" s="76"/>
      <c r="Q242" s="81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</row>
    <row r="243" spans="1:34" s="6" customFormat="1" ht="12" customHeight="1" hidden="1">
      <c r="A243" s="3" t="s">
        <v>239</v>
      </c>
      <c r="B243" s="136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6">
        <f t="shared" si="61"/>
        <v>0</v>
      </c>
      <c r="P243" s="76"/>
      <c r="Q243" s="81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</row>
    <row r="244" spans="1:34" s="6" customFormat="1" ht="12" customHeight="1" hidden="1">
      <c r="A244" s="3" t="s">
        <v>240</v>
      </c>
      <c r="B244" s="136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6">
        <f t="shared" si="61"/>
        <v>0</v>
      </c>
      <c r="P244" s="76"/>
      <c r="Q244" s="81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</row>
    <row r="245" spans="1:34" s="6" customFormat="1" ht="12" hidden="1">
      <c r="A245" s="3" t="s">
        <v>241</v>
      </c>
      <c r="B245" s="136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6">
        <f t="shared" si="61"/>
        <v>0</v>
      </c>
      <c r="P245" s="76"/>
      <c r="Q245" s="81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</row>
    <row r="246" spans="1:34" s="6" customFormat="1" ht="12" customHeight="1" hidden="1">
      <c r="A246" s="3" t="s">
        <v>242</v>
      </c>
      <c r="B246" s="13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6">
        <f t="shared" si="61"/>
        <v>0</v>
      </c>
      <c r="P246" s="76"/>
      <c r="Q246" s="81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</row>
    <row r="247" spans="1:34" s="6" customFormat="1" ht="12" customHeight="1" hidden="1">
      <c r="A247" s="3" t="s">
        <v>243</v>
      </c>
      <c r="B247" s="136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6">
        <f t="shared" si="61"/>
        <v>0</v>
      </c>
      <c r="P247" s="76"/>
      <c r="Q247" s="81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</row>
    <row r="248" spans="1:34" s="6" customFormat="1" ht="12" customHeight="1" hidden="1">
      <c r="A248" s="3" t="s">
        <v>244</v>
      </c>
      <c r="B248" s="136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6">
        <f t="shared" si="61"/>
        <v>0</v>
      </c>
      <c r="P248" s="76"/>
      <c r="Q248" s="81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</row>
    <row r="249" spans="1:34" s="6" customFormat="1" ht="12" customHeight="1" hidden="1">
      <c r="A249" s="3" t="s">
        <v>245</v>
      </c>
      <c r="B249" s="136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6">
        <f t="shared" si="61"/>
        <v>0</v>
      </c>
      <c r="P249" s="76"/>
      <c r="Q249" s="81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</row>
    <row r="250" spans="1:34" s="6" customFormat="1" ht="12" customHeight="1" hidden="1">
      <c r="A250" s="3" t="s">
        <v>280</v>
      </c>
      <c r="B250" s="136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6">
        <f t="shared" si="61"/>
        <v>0</v>
      </c>
      <c r="P250" s="76"/>
      <c r="Q250" s="81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</row>
    <row r="251" spans="1:34" s="6" customFormat="1" ht="12" customHeight="1" hidden="1">
      <c r="A251" s="3" t="s">
        <v>247</v>
      </c>
      <c r="B251" s="136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6">
        <f t="shared" si="61"/>
        <v>0</v>
      </c>
      <c r="P251" s="76"/>
      <c r="Q251" s="81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</row>
    <row r="252" spans="1:34" s="6" customFormat="1" ht="12" customHeight="1" hidden="1">
      <c r="A252" s="3" t="s">
        <v>248</v>
      </c>
      <c r="B252" s="136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6">
        <f t="shared" si="61"/>
        <v>0</v>
      </c>
      <c r="P252" s="76"/>
      <c r="Q252" s="81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</row>
    <row r="253" spans="1:34" s="6" customFormat="1" ht="12" customHeight="1" hidden="1">
      <c r="A253" s="3" t="s">
        <v>249</v>
      </c>
      <c r="B253" s="136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6">
        <f t="shared" si="61"/>
        <v>0</v>
      </c>
      <c r="P253" s="76"/>
      <c r="Q253" s="81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</row>
    <row r="254" spans="1:34" s="6" customFormat="1" ht="12" hidden="1">
      <c r="A254" s="3" t="s">
        <v>250</v>
      </c>
      <c r="B254" s="136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6">
        <f t="shared" si="61"/>
        <v>0</v>
      </c>
      <c r="P254" s="76"/>
      <c r="Q254" s="81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</row>
    <row r="255" spans="1:34" s="6" customFormat="1" ht="12" customHeight="1" hidden="1">
      <c r="A255" s="3" t="s">
        <v>251</v>
      </c>
      <c r="B255" s="136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6">
        <f t="shared" si="61"/>
        <v>0</v>
      </c>
      <c r="P255" s="76"/>
      <c r="Q255" s="81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</row>
    <row r="256" spans="1:34" s="6" customFormat="1" ht="12" customHeight="1" hidden="1">
      <c r="A256" s="3" t="s">
        <v>284</v>
      </c>
      <c r="B256" s="13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6">
        <f t="shared" si="61"/>
        <v>0</v>
      </c>
      <c r="P256" s="76"/>
      <c r="Q256" s="81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</row>
    <row r="257" spans="1:34" s="6" customFormat="1" ht="12" customHeight="1" hidden="1">
      <c r="A257" s="3" t="s">
        <v>325</v>
      </c>
      <c r="B257" s="136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6">
        <f t="shared" si="61"/>
        <v>0</v>
      </c>
      <c r="P257" s="76"/>
      <c r="Q257" s="81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</row>
    <row r="258" spans="1:34" s="6" customFormat="1" ht="12" customHeight="1" hidden="1">
      <c r="A258" s="3" t="s">
        <v>326</v>
      </c>
      <c r="B258" s="136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6">
        <f t="shared" si="61"/>
        <v>0</v>
      </c>
      <c r="P258" s="76"/>
      <c r="Q258" s="81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</row>
    <row r="259" spans="1:34" s="6" customFormat="1" ht="12" customHeight="1">
      <c r="A259" s="15" t="s">
        <v>232</v>
      </c>
      <c r="B259" s="137">
        <f>SUM(B260:B279)</f>
        <v>0</v>
      </c>
      <c r="C259" s="137">
        <f aca="true" t="shared" si="63" ref="C259:L259">SUM(C260:C279)</f>
        <v>0</v>
      </c>
      <c r="D259" s="137">
        <f t="shared" si="63"/>
        <v>0</v>
      </c>
      <c r="E259" s="137">
        <f t="shared" si="63"/>
        <v>0</v>
      </c>
      <c r="F259" s="137">
        <f t="shared" si="63"/>
        <v>0</v>
      </c>
      <c r="G259" s="137">
        <f t="shared" si="63"/>
        <v>0</v>
      </c>
      <c r="H259" s="137">
        <f t="shared" si="63"/>
        <v>0</v>
      </c>
      <c r="I259" s="137">
        <f t="shared" si="63"/>
        <v>0</v>
      </c>
      <c r="J259" s="137">
        <f t="shared" si="63"/>
        <v>0</v>
      </c>
      <c r="K259" s="137">
        <f t="shared" si="63"/>
        <v>0</v>
      </c>
      <c r="L259" s="137">
        <f t="shared" si="63"/>
        <v>0</v>
      </c>
      <c r="M259" s="137">
        <f>SUM(M260:M279)</f>
        <v>0</v>
      </c>
      <c r="N259" s="16">
        <f t="shared" si="61"/>
        <v>0</v>
      </c>
      <c r="P259" s="65"/>
      <c r="Q259" s="81"/>
      <c r="R259" s="115">
        <f>'[1]Ejecución Indotel'!$BL$28</f>
        <v>352083.5</v>
      </c>
      <c r="S259" s="115">
        <f>SUM(N260:N278)</f>
        <v>0</v>
      </c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</row>
    <row r="260" spans="1:34" s="6" customFormat="1" ht="12" hidden="1">
      <c r="A260" s="3" t="s">
        <v>453</v>
      </c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6">
        <f t="shared" si="61"/>
        <v>0</v>
      </c>
      <c r="P260" s="76"/>
      <c r="Q260" s="81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</row>
    <row r="261" spans="1:34" s="6" customFormat="1" ht="12" customHeight="1" hidden="1">
      <c r="A261" s="3" t="s">
        <v>282</v>
      </c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6">
        <f t="shared" si="61"/>
        <v>0</v>
      </c>
      <c r="P261" s="76"/>
      <c r="Q261" s="81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</row>
    <row r="262" spans="1:34" s="6" customFormat="1" ht="12" customHeight="1" hidden="1">
      <c r="A262" s="3" t="s">
        <v>281</v>
      </c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6">
        <f t="shared" si="61"/>
        <v>0</v>
      </c>
      <c r="P262" s="76"/>
      <c r="Q262" s="81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</row>
    <row r="263" spans="1:34" s="6" customFormat="1" ht="12" customHeight="1" hidden="1">
      <c r="A263" s="3" t="s">
        <v>239</v>
      </c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6">
        <f t="shared" si="61"/>
        <v>0</v>
      </c>
      <c r="P263" s="76"/>
      <c r="Q263" s="81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</row>
    <row r="264" spans="1:34" s="6" customFormat="1" ht="12" customHeight="1" hidden="1">
      <c r="A264" s="3" t="s">
        <v>240</v>
      </c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6">
        <f t="shared" si="61"/>
        <v>0</v>
      </c>
      <c r="P264" s="76"/>
      <c r="Q264" s="81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</row>
    <row r="265" spans="1:34" s="6" customFormat="1" ht="12" hidden="1">
      <c r="A265" s="3" t="s">
        <v>241</v>
      </c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6">
        <f t="shared" si="61"/>
        <v>0</v>
      </c>
      <c r="P265" s="76"/>
      <c r="Q265" s="81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</row>
    <row r="266" spans="1:34" s="6" customFormat="1" ht="12" customHeight="1" hidden="1">
      <c r="A266" s="3" t="s">
        <v>242</v>
      </c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6">
        <f t="shared" si="61"/>
        <v>0</v>
      </c>
      <c r="P266" s="76"/>
      <c r="Q266" s="81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</row>
    <row r="267" spans="1:34" s="6" customFormat="1" ht="12" customHeight="1" hidden="1">
      <c r="A267" s="3" t="s">
        <v>243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6">
        <f t="shared" si="61"/>
        <v>0</v>
      </c>
      <c r="P267" s="76"/>
      <c r="Q267" s="81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</row>
    <row r="268" spans="1:34" s="6" customFormat="1" ht="12" customHeight="1" hidden="1">
      <c r="A268" s="3" t="s">
        <v>244</v>
      </c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6">
        <f t="shared" si="61"/>
        <v>0</v>
      </c>
      <c r="P268" s="76"/>
      <c r="Q268" s="81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</row>
    <row r="269" spans="1:34" s="6" customFormat="1" ht="12" customHeight="1" hidden="1">
      <c r="A269" s="3" t="s">
        <v>455</v>
      </c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6">
        <f t="shared" si="61"/>
        <v>0</v>
      </c>
      <c r="P269" s="76"/>
      <c r="Q269" s="81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</row>
    <row r="270" spans="1:34" s="6" customFormat="1" ht="12" customHeight="1" hidden="1">
      <c r="A270" s="3" t="s">
        <v>280</v>
      </c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6">
        <f t="shared" si="61"/>
        <v>0</v>
      </c>
      <c r="P270" s="76"/>
      <c r="Q270" s="81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</row>
    <row r="271" spans="1:34" s="6" customFormat="1" ht="12" customHeight="1" hidden="1">
      <c r="A271" s="3" t="s">
        <v>247</v>
      </c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6">
        <f t="shared" si="61"/>
        <v>0</v>
      </c>
      <c r="P271" s="76"/>
      <c r="Q271" s="81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</row>
    <row r="272" spans="1:34" s="6" customFormat="1" ht="12" customHeight="1" hidden="1">
      <c r="A272" s="3" t="s">
        <v>248</v>
      </c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6">
        <f t="shared" si="61"/>
        <v>0</v>
      </c>
      <c r="P272" s="76"/>
      <c r="Q272" s="81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</row>
    <row r="273" spans="1:34" s="6" customFormat="1" ht="12" customHeight="1" hidden="1">
      <c r="A273" s="3" t="s">
        <v>299</v>
      </c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6">
        <f t="shared" si="61"/>
        <v>0</v>
      </c>
      <c r="P273" s="76"/>
      <c r="Q273" s="81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</row>
    <row r="274" spans="1:34" s="6" customFormat="1" ht="12" customHeight="1" hidden="1">
      <c r="A274" s="3" t="s">
        <v>249</v>
      </c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6">
        <f t="shared" si="61"/>
        <v>0</v>
      </c>
      <c r="P274" s="76"/>
      <c r="Q274" s="81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</row>
    <row r="275" spans="1:34" s="6" customFormat="1" ht="12" hidden="1">
      <c r="A275" s="3" t="s">
        <v>250</v>
      </c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6">
        <f t="shared" si="61"/>
        <v>0</v>
      </c>
      <c r="P275" s="76"/>
      <c r="Q275" s="81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</row>
    <row r="276" spans="1:34" s="6" customFormat="1" ht="12" customHeight="1" hidden="1">
      <c r="A276" s="3" t="s">
        <v>251</v>
      </c>
      <c r="B276" s="136"/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  <c r="M276" s="136"/>
      <c r="N276" s="16">
        <f t="shared" si="61"/>
        <v>0</v>
      </c>
      <c r="P276" s="76"/>
      <c r="Q276" s="81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</row>
    <row r="277" spans="1:34" s="6" customFormat="1" ht="12" customHeight="1" hidden="1">
      <c r="A277" s="3" t="s">
        <v>284</v>
      </c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6">
        <f t="shared" si="61"/>
        <v>0</v>
      </c>
      <c r="P277" s="76"/>
      <c r="Q277" s="81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</row>
    <row r="278" spans="1:34" s="6" customFormat="1" ht="12" customHeight="1" hidden="1">
      <c r="A278" s="3" t="s">
        <v>297</v>
      </c>
      <c r="B278" s="136"/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  <c r="M278" s="136"/>
      <c r="N278" s="16">
        <f t="shared" si="61"/>
        <v>0</v>
      </c>
      <c r="P278" s="76"/>
      <c r="Q278" s="81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</row>
    <row r="279" spans="1:34" s="6" customFormat="1" ht="12" customHeight="1" hidden="1">
      <c r="A279" s="3" t="s">
        <v>454</v>
      </c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6">
        <f t="shared" si="61"/>
        <v>0</v>
      </c>
      <c r="P279" s="76"/>
      <c r="Q279" s="81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</row>
    <row r="280" spans="1:34" s="170" customFormat="1" ht="12" customHeight="1">
      <c r="A280" s="27" t="s">
        <v>313</v>
      </c>
      <c r="B280" s="140">
        <f>SUM(B281:B297)</f>
        <v>4195000</v>
      </c>
      <c r="C280" s="123">
        <f aca="true" t="shared" si="64" ref="C280:M280">SUM(C281:C297)</f>
        <v>4195000</v>
      </c>
      <c r="D280" s="123">
        <f t="shared" si="64"/>
        <v>4195000</v>
      </c>
      <c r="E280" s="123">
        <f t="shared" si="64"/>
        <v>4195000</v>
      </c>
      <c r="F280" s="123">
        <f t="shared" si="64"/>
        <v>4195000</v>
      </c>
      <c r="G280" s="123">
        <f t="shared" si="64"/>
        <v>4195000</v>
      </c>
      <c r="H280" s="123">
        <f t="shared" si="64"/>
        <v>4195000</v>
      </c>
      <c r="I280" s="123">
        <f t="shared" si="64"/>
        <v>4195000</v>
      </c>
      <c r="J280" s="123">
        <f t="shared" si="64"/>
        <v>4195000</v>
      </c>
      <c r="K280" s="123">
        <f t="shared" si="64"/>
        <v>4195000</v>
      </c>
      <c r="L280" s="123">
        <f t="shared" si="64"/>
        <v>4195000</v>
      </c>
      <c r="M280" s="123">
        <f t="shared" si="64"/>
        <v>4195000</v>
      </c>
      <c r="N280" s="16">
        <f t="shared" si="61"/>
        <v>50340000</v>
      </c>
      <c r="P280" s="124">
        <f>SUM(B280:I280)</f>
        <v>33560000</v>
      </c>
      <c r="Q280" s="171"/>
      <c r="R280" s="172">
        <f>'[1]Ejecución Indotel'!$BL$29</f>
        <v>825000</v>
      </c>
      <c r="S280" s="172">
        <f>SUM(N281:N297)</f>
        <v>50340000</v>
      </c>
      <c r="T280" s="172"/>
      <c r="U280" s="172"/>
      <c r="V280" s="172"/>
      <c r="W280" s="172"/>
      <c r="X280" s="172"/>
      <c r="Y280" s="172"/>
      <c r="Z280" s="172"/>
      <c r="AA280" s="172"/>
      <c r="AB280" s="172"/>
      <c r="AC280" s="172"/>
      <c r="AD280" s="172"/>
      <c r="AE280" s="172"/>
      <c r="AF280" s="172"/>
      <c r="AG280" s="172"/>
      <c r="AH280" s="172"/>
    </row>
    <row r="281" spans="1:34" s="5" customFormat="1" ht="12">
      <c r="A281" s="3" t="s">
        <v>283</v>
      </c>
      <c r="B281" s="353">
        <v>4195000</v>
      </c>
      <c r="C281" s="353">
        <v>4195000</v>
      </c>
      <c r="D281" s="353">
        <v>4195000</v>
      </c>
      <c r="E281" s="353">
        <v>4195000</v>
      </c>
      <c r="F281" s="353">
        <v>4195000</v>
      </c>
      <c r="G281" s="353">
        <v>4195000</v>
      </c>
      <c r="H281" s="353">
        <v>4195000</v>
      </c>
      <c r="I281" s="353">
        <v>4195000</v>
      </c>
      <c r="J281" s="353">
        <v>4195000</v>
      </c>
      <c r="K281" s="353">
        <v>4195000</v>
      </c>
      <c r="L281" s="353">
        <v>4195000</v>
      </c>
      <c r="M281" s="353">
        <v>4195000</v>
      </c>
      <c r="N281" s="4">
        <f>SUM(B281:M281)</f>
        <v>50340000</v>
      </c>
      <c r="P281" s="76"/>
      <c r="Q281" s="80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</row>
    <row r="282" spans="1:34" s="5" customFormat="1" ht="12" customHeight="1" hidden="1">
      <c r="A282" s="3" t="s">
        <v>282</v>
      </c>
      <c r="B282" s="136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>
        <f>SUM(B282:M282)</f>
        <v>0</v>
      </c>
      <c r="P282" s="76"/>
      <c r="Q282" s="80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4"/>
      <c r="AD282" s="114"/>
      <c r="AE282" s="114"/>
      <c r="AF282" s="114"/>
      <c r="AG282" s="114"/>
      <c r="AH282" s="114"/>
    </row>
    <row r="283" spans="1:34" s="5" customFormat="1" ht="12" customHeight="1" hidden="1">
      <c r="A283" s="3" t="s">
        <v>281</v>
      </c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>
        <f>SUM(B283:M283)</f>
        <v>0</v>
      </c>
      <c r="P283" s="76"/>
      <c r="Q283" s="80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</row>
    <row r="284" spans="1:34" s="5" customFormat="1" ht="12" customHeight="1" hidden="1">
      <c r="A284" s="3" t="s">
        <v>239</v>
      </c>
      <c r="B284" s="136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P284" s="76"/>
      <c r="Q284" s="80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</row>
    <row r="285" spans="1:34" s="5" customFormat="1" ht="12" customHeight="1" hidden="1">
      <c r="A285" s="3" t="s">
        <v>240</v>
      </c>
      <c r="B285" s="136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P285" s="76"/>
      <c r="Q285" s="80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</row>
    <row r="286" spans="1:34" s="5" customFormat="1" ht="12" hidden="1">
      <c r="A286" s="3" t="s">
        <v>241</v>
      </c>
      <c r="B286" s="13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P286" s="76"/>
      <c r="Q286" s="80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</row>
    <row r="287" spans="1:34" s="5" customFormat="1" ht="12" customHeight="1" hidden="1">
      <c r="A287" s="3" t="s">
        <v>242</v>
      </c>
      <c r="B287" s="136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P287" s="76"/>
      <c r="Q287" s="80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</row>
    <row r="288" spans="1:34" s="5" customFormat="1" ht="12" customHeight="1" hidden="1">
      <c r="A288" s="3" t="s">
        <v>243</v>
      </c>
      <c r="B288" s="136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P288" s="76"/>
      <c r="Q288" s="80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</row>
    <row r="289" spans="1:34" s="5" customFormat="1" ht="12" customHeight="1" hidden="1">
      <c r="A289" s="3" t="s">
        <v>244</v>
      </c>
      <c r="B289" s="136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P289" s="76"/>
      <c r="Q289" s="80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</row>
    <row r="290" spans="1:34" s="5" customFormat="1" ht="12" customHeight="1" hidden="1">
      <c r="A290" s="3" t="s">
        <v>245</v>
      </c>
      <c r="B290" s="136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P290" s="76"/>
      <c r="Q290" s="80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</row>
    <row r="291" spans="1:34" s="5" customFormat="1" ht="12" customHeight="1" hidden="1">
      <c r="A291" s="3" t="s">
        <v>280</v>
      </c>
      <c r="B291" s="136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P291" s="76"/>
      <c r="Q291" s="80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</row>
    <row r="292" spans="1:34" s="5" customFormat="1" ht="12" customHeight="1" hidden="1">
      <c r="A292" s="3" t="s">
        <v>247</v>
      </c>
      <c r="B292" s="136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P292" s="76"/>
      <c r="Q292" s="80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</row>
    <row r="293" spans="1:34" s="5" customFormat="1" ht="12" customHeight="1" hidden="1">
      <c r="A293" s="3" t="s">
        <v>248</v>
      </c>
      <c r="B293" s="136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P293" s="76"/>
      <c r="Q293" s="80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</row>
    <row r="294" spans="1:34" s="5" customFormat="1" ht="12" customHeight="1" hidden="1">
      <c r="A294" s="3" t="s">
        <v>249</v>
      </c>
      <c r="B294" s="136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P294" s="76"/>
      <c r="Q294" s="80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</row>
    <row r="295" spans="1:34" s="5" customFormat="1" ht="12" hidden="1">
      <c r="A295" s="3" t="s">
        <v>250</v>
      </c>
      <c r="B295" s="136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P295" s="76"/>
      <c r="Q295" s="80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</row>
    <row r="296" spans="1:34" s="5" customFormat="1" ht="12" customHeight="1" hidden="1">
      <c r="A296" s="3" t="s">
        <v>251</v>
      </c>
      <c r="B296" s="136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P296" s="76"/>
      <c r="Q296" s="80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</row>
    <row r="297" spans="1:34" s="5" customFormat="1" ht="12" customHeight="1" hidden="1">
      <c r="A297" s="3" t="s">
        <v>284</v>
      </c>
      <c r="B297" s="136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P297" s="76"/>
      <c r="Q297" s="80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</row>
    <row r="298" spans="1:34" s="6" customFormat="1" ht="12" customHeight="1">
      <c r="A298" s="305" t="s">
        <v>667</v>
      </c>
      <c r="B298" s="137">
        <f>B299</f>
        <v>288250</v>
      </c>
      <c r="C298" s="137">
        <f aca="true" t="shared" si="65" ref="C298:M298">C299</f>
        <v>288250</v>
      </c>
      <c r="D298" s="137">
        <f t="shared" si="65"/>
        <v>288250</v>
      </c>
      <c r="E298" s="137">
        <f t="shared" si="65"/>
        <v>288250</v>
      </c>
      <c r="F298" s="137">
        <f t="shared" si="65"/>
        <v>288250</v>
      </c>
      <c r="G298" s="137">
        <f t="shared" si="65"/>
        <v>288250</v>
      </c>
      <c r="H298" s="137">
        <f t="shared" si="65"/>
        <v>288250</v>
      </c>
      <c r="I298" s="137">
        <f t="shared" si="65"/>
        <v>288250</v>
      </c>
      <c r="J298" s="137">
        <f t="shared" si="65"/>
        <v>288250</v>
      </c>
      <c r="K298" s="137">
        <f t="shared" si="65"/>
        <v>288250</v>
      </c>
      <c r="L298" s="137">
        <f t="shared" si="65"/>
        <v>288250</v>
      </c>
      <c r="M298" s="137">
        <f t="shared" si="65"/>
        <v>288250</v>
      </c>
      <c r="N298" s="16">
        <f>SUM(B298:M298)</f>
        <v>3459000</v>
      </c>
      <c r="P298" s="65"/>
      <c r="Q298" s="81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</row>
    <row r="299" spans="1:34" s="5" customFormat="1" ht="12" customHeight="1">
      <c r="A299" s="306" t="s">
        <v>668</v>
      </c>
      <c r="B299" s="136">
        <v>288250</v>
      </c>
      <c r="C299" s="136">
        <v>288250</v>
      </c>
      <c r="D299" s="136">
        <v>288250</v>
      </c>
      <c r="E299" s="136">
        <v>288250</v>
      </c>
      <c r="F299" s="136">
        <v>288250</v>
      </c>
      <c r="G299" s="136">
        <v>288250</v>
      </c>
      <c r="H299" s="136">
        <v>288250</v>
      </c>
      <c r="I299" s="136">
        <v>288250</v>
      </c>
      <c r="J299" s="136">
        <v>288250</v>
      </c>
      <c r="K299" s="136">
        <v>288250</v>
      </c>
      <c r="L299" s="136">
        <v>288250</v>
      </c>
      <c r="M299" s="136">
        <v>288250</v>
      </c>
      <c r="N299" s="4">
        <f>SUM(B299:M299)</f>
        <v>3459000</v>
      </c>
      <c r="P299" s="76"/>
      <c r="Q299" s="80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</row>
    <row r="300" spans="1:19" s="48" customFormat="1" ht="12.75">
      <c r="A300" s="121" t="s">
        <v>95</v>
      </c>
      <c r="B300" s="294">
        <f>B301+B323+B325</f>
        <v>3774000.080000001</v>
      </c>
      <c r="C300" s="294">
        <f>C301+C323+C325</f>
        <v>3774000.080000001</v>
      </c>
      <c r="D300" s="294">
        <f aca="true" t="shared" si="66" ref="D300:L300">D301+D323+D325</f>
        <v>3774000.080000001</v>
      </c>
      <c r="E300" s="294">
        <f t="shared" si="66"/>
        <v>3774000.080000001</v>
      </c>
      <c r="F300" s="294">
        <f t="shared" si="66"/>
        <v>3774000.080000001</v>
      </c>
      <c r="G300" s="294">
        <f>G301+G323+G325</f>
        <v>61776083.160000026</v>
      </c>
      <c r="H300" s="294">
        <f t="shared" si="66"/>
        <v>3774000.080000001</v>
      </c>
      <c r="I300" s="294">
        <f t="shared" si="66"/>
        <v>3774000.080000001</v>
      </c>
      <c r="J300" s="294">
        <f t="shared" si="66"/>
        <v>3774000.080000001</v>
      </c>
      <c r="K300" s="294">
        <f t="shared" si="66"/>
        <v>3774000.080000001</v>
      </c>
      <c r="L300" s="294">
        <f t="shared" si="66"/>
        <v>3774000.080000001</v>
      </c>
      <c r="M300" s="294">
        <f>M301+M323+M325</f>
        <v>27423999.096000005</v>
      </c>
      <c r="N300" s="295">
        <f>SUM(B300:M300)</f>
        <v>126940083.05600002</v>
      </c>
      <c r="O300" s="293">
        <f>N301+N326+N328+N346</f>
        <v>126652083.05600004</v>
      </c>
      <c r="Q300" s="83"/>
      <c r="R300" s="107"/>
      <c r="S300" s="107"/>
    </row>
    <row r="301" spans="1:34" s="28" customFormat="1" ht="12" customHeight="1">
      <c r="A301" s="15" t="s">
        <v>559</v>
      </c>
      <c r="B301" s="137">
        <f>SUM(B302:B318)</f>
        <v>3750000.080000001</v>
      </c>
      <c r="C301" s="137">
        <f>SUM(C302:C318)</f>
        <v>3750000.080000001</v>
      </c>
      <c r="D301" s="137">
        <f aca="true" t="shared" si="67" ref="D301:M301">SUM(D302:D318)</f>
        <v>3750000.080000001</v>
      </c>
      <c r="E301" s="137">
        <f t="shared" si="67"/>
        <v>3750000.080000001</v>
      </c>
      <c r="F301" s="137">
        <f t="shared" si="67"/>
        <v>3750000.080000001</v>
      </c>
      <c r="G301" s="137">
        <f t="shared" si="67"/>
        <v>3750000.080000001</v>
      </c>
      <c r="H301" s="137">
        <f t="shared" si="67"/>
        <v>3750000.080000001</v>
      </c>
      <c r="I301" s="137">
        <f t="shared" si="67"/>
        <v>3750000.080000001</v>
      </c>
      <c r="J301" s="137">
        <f t="shared" si="67"/>
        <v>3750000.080000001</v>
      </c>
      <c r="K301" s="137">
        <f t="shared" si="67"/>
        <v>3750000.080000001</v>
      </c>
      <c r="L301" s="137">
        <f t="shared" si="67"/>
        <v>3750000.080000001</v>
      </c>
      <c r="M301" s="137">
        <f t="shared" si="67"/>
        <v>3749999.080000001</v>
      </c>
      <c r="N301" s="20">
        <f aca="true" t="shared" si="68" ref="N301:N327">SUM(B301:M301)</f>
        <v>44999999.96000001</v>
      </c>
      <c r="P301" s="65"/>
      <c r="Q301" s="68"/>
      <c r="R301" s="117"/>
      <c r="S301" s="117">
        <f>SUM(N302:N318)</f>
        <v>44999999.96</v>
      </c>
      <c r="T301" s="117">
        <f>S301-N301</f>
        <v>0</v>
      </c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</row>
    <row r="302" spans="1:34" s="28" customFormat="1" ht="12" customHeight="1">
      <c r="A302" s="3" t="s">
        <v>236</v>
      </c>
      <c r="B302" s="136">
        <v>220588.24</v>
      </c>
      <c r="C302" s="136">
        <v>220588.24</v>
      </c>
      <c r="D302" s="136">
        <v>220588.24</v>
      </c>
      <c r="E302" s="136">
        <v>220588.24</v>
      </c>
      <c r="F302" s="136">
        <v>220588.24</v>
      </c>
      <c r="G302" s="136">
        <v>220588.24</v>
      </c>
      <c r="H302" s="136">
        <v>220588.24</v>
      </c>
      <c r="I302" s="136">
        <v>220588.24</v>
      </c>
      <c r="J302" s="136">
        <v>220588.24</v>
      </c>
      <c r="K302" s="136">
        <v>220588.24</v>
      </c>
      <c r="L302" s="136">
        <v>220588.24</v>
      </c>
      <c r="M302" s="136">
        <v>220588.24</v>
      </c>
      <c r="N302" s="19">
        <f t="shared" si="68"/>
        <v>2647058.88</v>
      </c>
      <c r="P302" s="76"/>
      <c r="Q302" s="68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</row>
    <row r="303" spans="1:34" s="28" customFormat="1" ht="12" customHeight="1">
      <c r="A303" s="3" t="s">
        <v>237</v>
      </c>
      <c r="B303" s="136">
        <v>220588.24</v>
      </c>
      <c r="C303" s="136">
        <v>220588.24</v>
      </c>
      <c r="D303" s="136">
        <v>220588.24</v>
      </c>
      <c r="E303" s="136">
        <v>220588.24</v>
      </c>
      <c r="F303" s="136">
        <v>220588.24</v>
      </c>
      <c r="G303" s="136">
        <v>220588.24</v>
      </c>
      <c r="H303" s="136">
        <v>220588.24</v>
      </c>
      <c r="I303" s="136">
        <v>220588.24</v>
      </c>
      <c r="J303" s="136">
        <v>220588.24</v>
      </c>
      <c r="K303" s="136">
        <v>220588.24</v>
      </c>
      <c r="L303" s="136">
        <v>220588.24</v>
      </c>
      <c r="M303" s="136">
        <v>220588.24</v>
      </c>
      <c r="N303" s="19">
        <f t="shared" si="68"/>
        <v>2647058.88</v>
      </c>
      <c r="P303" s="76"/>
      <c r="Q303" s="68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</row>
    <row r="304" spans="1:34" s="28" customFormat="1" ht="12" customHeight="1">
      <c r="A304" s="3" t="s">
        <v>238</v>
      </c>
      <c r="B304" s="136">
        <v>220588.24</v>
      </c>
      <c r="C304" s="136">
        <v>220588.24</v>
      </c>
      <c r="D304" s="136">
        <v>220588.24</v>
      </c>
      <c r="E304" s="136">
        <v>220588.24</v>
      </c>
      <c r="F304" s="136">
        <v>220588.24</v>
      </c>
      <c r="G304" s="136">
        <v>220588.24</v>
      </c>
      <c r="H304" s="136">
        <v>220588.24</v>
      </c>
      <c r="I304" s="136">
        <v>220588.24</v>
      </c>
      <c r="J304" s="136">
        <v>220588.24</v>
      </c>
      <c r="K304" s="136">
        <v>220588.24</v>
      </c>
      <c r="L304" s="136">
        <v>220588.24</v>
      </c>
      <c r="M304" s="136">
        <v>220588.24</v>
      </c>
      <c r="N304" s="19">
        <f t="shared" si="68"/>
        <v>2647058.88</v>
      </c>
      <c r="P304" s="76"/>
      <c r="Q304" s="68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</row>
    <row r="305" spans="1:34" s="28" customFormat="1" ht="12" customHeight="1">
      <c r="A305" s="3" t="s">
        <v>240</v>
      </c>
      <c r="B305" s="136">
        <v>220588.24</v>
      </c>
      <c r="C305" s="136">
        <v>220588.24</v>
      </c>
      <c r="D305" s="136">
        <v>220588.24</v>
      </c>
      <c r="E305" s="136">
        <v>220588.24</v>
      </c>
      <c r="F305" s="136">
        <v>220588.24</v>
      </c>
      <c r="G305" s="136">
        <v>220588.24</v>
      </c>
      <c r="H305" s="136">
        <v>220588.24</v>
      </c>
      <c r="I305" s="136">
        <v>220588.24</v>
      </c>
      <c r="J305" s="136">
        <v>220588.24</v>
      </c>
      <c r="K305" s="136">
        <v>220588.24</v>
      </c>
      <c r="L305" s="136">
        <v>220588.24</v>
      </c>
      <c r="M305" s="136">
        <v>220588.24</v>
      </c>
      <c r="N305" s="19">
        <f t="shared" si="68"/>
        <v>2647058.88</v>
      </c>
      <c r="P305" s="76"/>
      <c r="Q305" s="68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</row>
    <row r="306" spans="1:34" s="28" customFormat="1" ht="12" customHeight="1">
      <c r="A306" s="3" t="s">
        <v>241</v>
      </c>
      <c r="B306" s="136">
        <v>220588.24</v>
      </c>
      <c r="C306" s="136">
        <v>220588.24</v>
      </c>
      <c r="D306" s="136">
        <v>220588.24</v>
      </c>
      <c r="E306" s="136">
        <v>220588.24</v>
      </c>
      <c r="F306" s="136">
        <v>220588.24</v>
      </c>
      <c r="G306" s="136">
        <v>220588.24</v>
      </c>
      <c r="H306" s="136">
        <v>220588.24</v>
      </c>
      <c r="I306" s="136">
        <v>220588.24</v>
      </c>
      <c r="J306" s="136">
        <v>220588.24</v>
      </c>
      <c r="K306" s="136">
        <v>220588.24</v>
      </c>
      <c r="L306" s="136">
        <v>220588.24</v>
      </c>
      <c r="M306" s="136">
        <v>220588.24</v>
      </c>
      <c r="N306" s="19">
        <f t="shared" si="68"/>
        <v>2647058.88</v>
      </c>
      <c r="P306" s="76"/>
      <c r="Q306" s="68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</row>
    <row r="307" spans="1:34" s="28" customFormat="1" ht="12" customHeight="1">
      <c r="A307" s="3" t="s">
        <v>243</v>
      </c>
      <c r="B307" s="136">
        <v>220588.24</v>
      </c>
      <c r="C307" s="136">
        <v>220588.24</v>
      </c>
      <c r="D307" s="136">
        <v>220588.24</v>
      </c>
      <c r="E307" s="136">
        <v>220588.24</v>
      </c>
      <c r="F307" s="136">
        <v>220588.24</v>
      </c>
      <c r="G307" s="136">
        <v>220588.24</v>
      </c>
      <c r="H307" s="136">
        <v>220588.24</v>
      </c>
      <c r="I307" s="136">
        <v>220588.24</v>
      </c>
      <c r="J307" s="136">
        <v>220588.24</v>
      </c>
      <c r="K307" s="136">
        <v>220588.24</v>
      </c>
      <c r="L307" s="136">
        <v>220588.24</v>
      </c>
      <c r="M307" s="136">
        <v>220588.24</v>
      </c>
      <c r="N307" s="19">
        <f t="shared" si="68"/>
        <v>2647058.88</v>
      </c>
      <c r="P307" s="76"/>
      <c r="Q307" s="68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</row>
    <row r="308" spans="1:34" s="28" customFormat="1" ht="12" customHeight="1">
      <c r="A308" s="3" t="s">
        <v>244</v>
      </c>
      <c r="B308" s="136">
        <v>220588.24</v>
      </c>
      <c r="C308" s="136">
        <v>220588.24</v>
      </c>
      <c r="D308" s="136">
        <v>220588.24</v>
      </c>
      <c r="E308" s="136">
        <v>220588.24</v>
      </c>
      <c r="F308" s="136">
        <v>220588.24</v>
      </c>
      <c r="G308" s="136">
        <v>220588.24</v>
      </c>
      <c r="H308" s="136">
        <v>220588.24</v>
      </c>
      <c r="I308" s="136">
        <v>220588.24</v>
      </c>
      <c r="J308" s="136">
        <v>220588.24</v>
      </c>
      <c r="K308" s="136">
        <v>220588.24</v>
      </c>
      <c r="L308" s="136">
        <v>220588.24</v>
      </c>
      <c r="M308" s="136">
        <v>220588.24</v>
      </c>
      <c r="N308" s="19">
        <f t="shared" si="68"/>
        <v>2647058.88</v>
      </c>
      <c r="P308" s="76"/>
      <c r="Q308" s="68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</row>
    <row r="309" spans="1:34" s="28" customFormat="1" ht="12" customHeight="1">
      <c r="A309" s="3" t="s">
        <v>245</v>
      </c>
      <c r="B309" s="136">
        <v>220588.24</v>
      </c>
      <c r="C309" s="136">
        <v>220588.24</v>
      </c>
      <c r="D309" s="136">
        <v>220588.24</v>
      </c>
      <c r="E309" s="136">
        <v>220588.24</v>
      </c>
      <c r="F309" s="136">
        <v>220588.24</v>
      </c>
      <c r="G309" s="136">
        <v>220588.24</v>
      </c>
      <c r="H309" s="136">
        <v>220588.24</v>
      </c>
      <c r="I309" s="136">
        <v>220588.24</v>
      </c>
      <c r="J309" s="136">
        <v>220588.24</v>
      </c>
      <c r="K309" s="136">
        <v>220588.24</v>
      </c>
      <c r="L309" s="136">
        <v>220588.24</v>
      </c>
      <c r="M309" s="136">
        <v>220588.24</v>
      </c>
      <c r="N309" s="19">
        <f t="shared" si="68"/>
        <v>2647058.88</v>
      </c>
      <c r="P309" s="76"/>
      <c r="Q309" s="68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</row>
    <row r="310" spans="1:34" s="28" customFormat="1" ht="12" customHeight="1">
      <c r="A310" s="3" t="s">
        <v>246</v>
      </c>
      <c r="B310" s="136">
        <v>220588.24</v>
      </c>
      <c r="C310" s="136">
        <v>220588.24</v>
      </c>
      <c r="D310" s="136">
        <v>220588.24</v>
      </c>
      <c r="E310" s="136">
        <v>220588.24</v>
      </c>
      <c r="F310" s="136">
        <v>220588.24</v>
      </c>
      <c r="G310" s="136">
        <v>220588.24</v>
      </c>
      <c r="H310" s="136">
        <v>220588.24</v>
      </c>
      <c r="I310" s="136">
        <v>220588.24</v>
      </c>
      <c r="J310" s="136">
        <v>220588.24</v>
      </c>
      <c r="K310" s="136">
        <v>220588.24</v>
      </c>
      <c r="L310" s="136">
        <v>220588.24</v>
      </c>
      <c r="M310" s="136">
        <v>220588.24</v>
      </c>
      <c r="N310" s="19">
        <f t="shared" si="68"/>
        <v>2647058.88</v>
      </c>
      <c r="P310" s="76"/>
      <c r="Q310" s="68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</row>
    <row r="311" spans="1:34" s="28" customFormat="1" ht="12" customHeight="1">
      <c r="A311" s="3" t="s">
        <v>247</v>
      </c>
      <c r="B311" s="136">
        <v>220588.24</v>
      </c>
      <c r="C311" s="136">
        <v>220588.24</v>
      </c>
      <c r="D311" s="136">
        <v>220588.24</v>
      </c>
      <c r="E311" s="136">
        <v>220588.24</v>
      </c>
      <c r="F311" s="136">
        <v>220588.24</v>
      </c>
      <c r="G311" s="136">
        <v>220588.24</v>
      </c>
      <c r="H311" s="136">
        <v>220588.24</v>
      </c>
      <c r="I311" s="136">
        <v>220588.24</v>
      </c>
      <c r="J311" s="136">
        <v>220588.24</v>
      </c>
      <c r="K311" s="136">
        <v>220588.24</v>
      </c>
      <c r="L311" s="136">
        <v>220588.24</v>
      </c>
      <c r="M311" s="136">
        <v>220588.24</v>
      </c>
      <c r="N311" s="19">
        <f t="shared" si="68"/>
        <v>2647058.88</v>
      </c>
      <c r="P311" s="76"/>
      <c r="Q311" s="68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</row>
    <row r="312" spans="1:34" s="28" customFormat="1" ht="12" customHeight="1">
      <c r="A312" s="3" t="s">
        <v>299</v>
      </c>
      <c r="B312" s="136">
        <v>220588.24</v>
      </c>
      <c r="C312" s="136">
        <v>220588.24</v>
      </c>
      <c r="D312" s="136">
        <v>220588.24</v>
      </c>
      <c r="E312" s="136">
        <v>220588.24</v>
      </c>
      <c r="F312" s="136">
        <v>220588.24</v>
      </c>
      <c r="G312" s="136">
        <v>220588.24</v>
      </c>
      <c r="H312" s="136">
        <v>220588.24</v>
      </c>
      <c r="I312" s="136">
        <v>220588.24</v>
      </c>
      <c r="J312" s="136">
        <v>220588.24</v>
      </c>
      <c r="K312" s="136">
        <v>220588.24</v>
      </c>
      <c r="L312" s="136">
        <v>220588.24</v>
      </c>
      <c r="M312" s="136">
        <v>220588.24</v>
      </c>
      <c r="N312" s="19">
        <f t="shared" si="68"/>
        <v>2647058.88</v>
      </c>
      <c r="P312" s="76"/>
      <c r="Q312" s="68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</row>
    <row r="313" spans="1:34" s="28" customFormat="1" ht="12" customHeight="1">
      <c r="A313" s="3" t="s">
        <v>249</v>
      </c>
      <c r="B313" s="136">
        <v>220588.24</v>
      </c>
      <c r="C313" s="136">
        <v>220588.24</v>
      </c>
      <c r="D313" s="136">
        <v>220588.24</v>
      </c>
      <c r="E313" s="136">
        <v>220588.24</v>
      </c>
      <c r="F313" s="136">
        <v>220588.24</v>
      </c>
      <c r="G313" s="136">
        <v>220588.24</v>
      </c>
      <c r="H313" s="136">
        <v>220588.24</v>
      </c>
      <c r="I313" s="136">
        <v>220588.24</v>
      </c>
      <c r="J313" s="136">
        <v>220588.24</v>
      </c>
      <c r="K313" s="136">
        <v>220588.24</v>
      </c>
      <c r="L313" s="136">
        <v>220588.24</v>
      </c>
      <c r="M313" s="136">
        <v>220588.24</v>
      </c>
      <c r="N313" s="19">
        <f t="shared" si="68"/>
        <v>2647058.88</v>
      </c>
      <c r="P313" s="76"/>
      <c r="Q313" s="68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</row>
    <row r="314" spans="1:34" s="28" customFormat="1" ht="12" customHeight="1">
      <c r="A314" s="3" t="s">
        <v>250</v>
      </c>
      <c r="B314" s="136">
        <v>220588.24</v>
      </c>
      <c r="C314" s="136">
        <v>220588.24</v>
      </c>
      <c r="D314" s="136">
        <v>220588.24</v>
      </c>
      <c r="E314" s="136">
        <v>220588.24</v>
      </c>
      <c r="F314" s="136">
        <v>220588.24</v>
      </c>
      <c r="G314" s="136">
        <v>220588.24</v>
      </c>
      <c r="H314" s="136">
        <v>220588.24</v>
      </c>
      <c r="I314" s="136">
        <v>220588.24</v>
      </c>
      <c r="J314" s="136">
        <v>220588.24</v>
      </c>
      <c r="K314" s="136">
        <v>220588.24</v>
      </c>
      <c r="L314" s="136">
        <v>220588.24</v>
      </c>
      <c r="M314" s="136">
        <v>220588.24</v>
      </c>
      <c r="N314" s="19">
        <f t="shared" si="68"/>
        <v>2647058.88</v>
      </c>
      <c r="P314" s="76"/>
      <c r="Q314" s="68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</row>
    <row r="315" spans="1:34" s="28" customFormat="1" ht="12" customHeight="1">
      <c r="A315" s="3" t="s">
        <v>252</v>
      </c>
      <c r="B315" s="136">
        <v>220588.24</v>
      </c>
      <c r="C315" s="136">
        <v>220588.24</v>
      </c>
      <c r="D315" s="136">
        <v>220588.24</v>
      </c>
      <c r="E315" s="136">
        <v>220588.24</v>
      </c>
      <c r="F315" s="136">
        <v>220588.24</v>
      </c>
      <c r="G315" s="136">
        <v>220588.24</v>
      </c>
      <c r="H315" s="136">
        <v>220588.24</v>
      </c>
      <c r="I315" s="136">
        <v>220588.24</v>
      </c>
      <c r="J315" s="136">
        <v>220588.24</v>
      </c>
      <c r="K315" s="136">
        <v>220588.24</v>
      </c>
      <c r="L315" s="136">
        <v>220588.24</v>
      </c>
      <c r="M315" s="136">
        <v>220588.24</v>
      </c>
      <c r="N315" s="19">
        <f t="shared" si="68"/>
        <v>2647058.88</v>
      </c>
      <c r="P315" s="76"/>
      <c r="Q315" s="68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</row>
    <row r="316" spans="1:34" s="28" customFormat="1" ht="12" customHeight="1">
      <c r="A316" s="3" t="s">
        <v>305</v>
      </c>
      <c r="B316" s="136">
        <v>220588.24</v>
      </c>
      <c r="C316" s="136">
        <v>220588.24</v>
      </c>
      <c r="D316" s="136">
        <v>220588.24</v>
      </c>
      <c r="E316" s="136">
        <v>220588.24</v>
      </c>
      <c r="F316" s="136">
        <v>220588.24</v>
      </c>
      <c r="G316" s="136">
        <v>220588.24</v>
      </c>
      <c r="H316" s="136">
        <v>220588.24</v>
      </c>
      <c r="I316" s="136">
        <v>220588.24</v>
      </c>
      <c r="J316" s="136">
        <v>220588.24</v>
      </c>
      <c r="K316" s="136">
        <v>220588.24</v>
      </c>
      <c r="L316" s="136">
        <v>220588.24</v>
      </c>
      <c r="M316" s="136">
        <v>220588.24</v>
      </c>
      <c r="N316" s="19">
        <f t="shared" si="68"/>
        <v>2647058.88</v>
      </c>
      <c r="P316" s="76"/>
      <c r="Q316" s="68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</row>
    <row r="317" spans="1:34" s="28" customFormat="1" ht="12" customHeight="1">
      <c r="A317" s="3" t="s">
        <v>327</v>
      </c>
      <c r="B317" s="136">
        <v>220588.24</v>
      </c>
      <c r="C317" s="136">
        <v>220588.24</v>
      </c>
      <c r="D317" s="136">
        <v>220588.24</v>
      </c>
      <c r="E317" s="136">
        <v>220588.24</v>
      </c>
      <c r="F317" s="136">
        <v>220588.24</v>
      </c>
      <c r="G317" s="136">
        <v>220588.24</v>
      </c>
      <c r="H317" s="136">
        <v>220588.24</v>
      </c>
      <c r="I317" s="136">
        <v>220588.24</v>
      </c>
      <c r="J317" s="136">
        <v>220588.24</v>
      </c>
      <c r="K317" s="136">
        <v>220588.24</v>
      </c>
      <c r="L317" s="136">
        <v>220588.24</v>
      </c>
      <c r="M317" s="136">
        <v>220588.24</v>
      </c>
      <c r="N317" s="19">
        <f t="shared" si="68"/>
        <v>2647058.88</v>
      </c>
      <c r="P317" s="76"/>
      <c r="Q317" s="68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</row>
    <row r="318" spans="1:34" s="28" customFormat="1" ht="12" customHeight="1">
      <c r="A318" s="3" t="s">
        <v>325</v>
      </c>
      <c r="B318" s="136">
        <v>220588.24</v>
      </c>
      <c r="C318" s="136">
        <v>220588.24</v>
      </c>
      <c r="D318" s="136">
        <v>220588.24</v>
      </c>
      <c r="E318" s="136">
        <v>220588.24</v>
      </c>
      <c r="F318" s="136">
        <v>220588.24</v>
      </c>
      <c r="G318" s="136">
        <v>220588.24</v>
      </c>
      <c r="H318" s="136">
        <v>220588.24</v>
      </c>
      <c r="I318" s="136">
        <v>220588.24</v>
      </c>
      <c r="J318" s="136">
        <v>220588.24</v>
      </c>
      <c r="K318" s="136">
        <v>220588.24</v>
      </c>
      <c r="L318" s="136">
        <v>220588.24</v>
      </c>
      <c r="M318" s="136">
        <v>220587.24</v>
      </c>
      <c r="N318" s="19">
        <f t="shared" si="68"/>
        <v>2647057.88</v>
      </c>
      <c r="P318" s="76"/>
      <c r="Q318" s="68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</row>
    <row r="319" spans="1:34" s="28" customFormat="1" ht="12" customHeight="1">
      <c r="A319" s="3" t="s">
        <v>301</v>
      </c>
      <c r="B319" s="136"/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  <c r="M319" s="136"/>
      <c r="N319" s="19">
        <f t="shared" si="68"/>
        <v>0</v>
      </c>
      <c r="P319" s="76"/>
      <c r="Q319" s="68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</row>
    <row r="320" spans="1:34" s="28" customFormat="1" ht="12" customHeight="1">
      <c r="A320" s="3" t="s">
        <v>302</v>
      </c>
      <c r="B320" s="136"/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9">
        <f t="shared" si="68"/>
        <v>0</v>
      </c>
      <c r="P320" s="76"/>
      <c r="Q320" s="68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</row>
    <row r="321" spans="1:34" s="28" customFormat="1" ht="12" customHeight="1">
      <c r="A321" s="3" t="s">
        <v>306</v>
      </c>
      <c r="B321" s="136"/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  <c r="M321" s="136"/>
      <c r="N321" s="19">
        <f t="shared" si="68"/>
        <v>0</v>
      </c>
      <c r="P321" s="76"/>
      <c r="Q321" s="68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</row>
    <row r="322" spans="1:34" s="28" customFormat="1" ht="12" customHeight="1">
      <c r="A322" s="3" t="s">
        <v>303</v>
      </c>
      <c r="B322" s="136"/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  <c r="M322" s="136"/>
      <c r="N322" s="19">
        <f t="shared" si="68"/>
        <v>0</v>
      </c>
      <c r="P322" s="76"/>
      <c r="Q322" s="68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</row>
    <row r="323" spans="1:34" s="6" customFormat="1" ht="12" customHeight="1">
      <c r="A323" s="15" t="s">
        <v>952</v>
      </c>
      <c r="B323" s="137">
        <f>B324</f>
        <v>24000</v>
      </c>
      <c r="C323" s="137">
        <f aca="true" t="shared" si="69" ref="C323:M323">C324</f>
        <v>24000</v>
      </c>
      <c r="D323" s="137">
        <f t="shared" si="69"/>
        <v>24000</v>
      </c>
      <c r="E323" s="137">
        <f t="shared" si="69"/>
        <v>24000</v>
      </c>
      <c r="F323" s="137">
        <f t="shared" si="69"/>
        <v>24000</v>
      </c>
      <c r="G323" s="137">
        <f t="shared" si="69"/>
        <v>24000</v>
      </c>
      <c r="H323" s="137">
        <f t="shared" si="69"/>
        <v>24000</v>
      </c>
      <c r="I323" s="137">
        <f t="shared" si="69"/>
        <v>24000</v>
      </c>
      <c r="J323" s="137">
        <f t="shared" si="69"/>
        <v>24000</v>
      </c>
      <c r="K323" s="137">
        <f t="shared" si="69"/>
        <v>24000</v>
      </c>
      <c r="L323" s="137">
        <f t="shared" si="69"/>
        <v>24000</v>
      </c>
      <c r="M323" s="137">
        <f t="shared" si="69"/>
        <v>24000</v>
      </c>
      <c r="N323" s="16">
        <f>SUM(B323:M323)</f>
        <v>288000</v>
      </c>
      <c r="P323" s="65"/>
      <c r="Q323" s="81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</row>
    <row r="324" spans="1:34" s="6" customFormat="1" ht="12" customHeight="1">
      <c r="A324" s="3" t="s">
        <v>281</v>
      </c>
      <c r="B324" s="136">
        <v>24000</v>
      </c>
      <c r="C324" s="136">
        <v>24000</v>
      </c>
      <c r="D324" s="136">
        <v>24000</v>
      </c>
      <c r="E324" s="136">
        <v>24000</v>
      </c>
      <c r="F324" s="136">
        <v>24000</v>
      </c>
      <c r="G324" s="136">
        <v>24000</v>
      </c>
      <c r="H324" s="136">
        <v>24000</v>
      </c>
      <c r="I324" s="136">
        <v>24000</v>
      </c>
      <c r="J324" s="136">
        <v>24000</v>
      </c>
      <c r="K324" s="136">
        <v>24000</v>
      </c>
      <c r="L324" s="136">
        <v>24000</v>
      </c>
      <c r="M324" s="136">
        <v>24000</v>
      </c>
      <c r="N324" s="4">
        <f>SUM(B324:M324)</f>
        <v>288000</v>
      </c>
      <c r="P324" s="76"/>
      <c r="Q324" s="81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</row>
    <row r="325" spans="1:34" s="6" customFormat="1" ht="12" customHeight="1">
      <c r="A325" s="15" t="s">
        <v>194</v>
      </c>
      <c r="B325" s="137">
        <f>B326+B328+B346+B368+B369+B370</f>
        <v>0</v>
      </c>
      <c r="C325" s="137">
        <f>C326+C328+C346+C368+C369+C370</f>
        <v>0</v>
      </c>
      <c r="D325" s="137">
        <f aca="true" t="shared" si="70" ref="D325:L325">D326+D328+D346+D368+D369+D370</f>
        <v>0</v>
      </c>
      <c r="E325" s="137">
        <f>E326+E328+E346+E368+E369+E370</f>
        <v>0</v>
      </c>
      <c r="F325" s="137">
        <f t="shared" si="70"/>
        <v>0</v>
      </c>
      <c r="G325" s="137">
        <f t="shared" si="70"/>
        <v>58002083.08000003</v>
      </c>
      <c r="H325" s="137">
        <f t="shared" si="70"/>
        <v>0</v>
      </c>
      <c r="I325" s="137">
        <f t="shared" si="70"/>
        <v>0</v>
      </c>
      <c r="J325" s="137">
        <f t="shared" si="70"/>
        <v>0</v>
      </c>
      <c r="K325" s="137">
        <f t="shared" si="70"/>
        <v>0</v>
      </c>
      <c r="L325" s="137">
        <f t="shared" si="70"/>
        <v>0</v>
      </c>
      <c r="M325" s="137">
        <f>M326+M328+M346+M368+M369+M370</f>
        <v>23650000.016000003</v>
      </c>
      <c r="N325" s="16">
        <f>SUM(B325:M325)</f>
        <v>81652083.09600003</v>
      </c>
      <c r="P325" s="65">
        <f>SUM(B325:M325)</f>
        <v>81652083.09600003</v>
      </c>
      <c r="Q325" s="81"/>
      <c r="R325" s="115"/>
      <c r="S325" s="115">
        <f>N326+N328+N346+N368+N369+N370</f>
        <v>81652083.09600003</v>
      </c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</row>
    <row r="326" spans="1:34" s="6" customFormat="1" ht="12" customHeight="1">
      <c r="A326" s="15" t="s">
        <v>307</v>
      </c>
      <c r="B326" s="13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>
        <f>SUM(M327)</f>
        <v>0</v>
      </c>
      <c r="N326" s="16">
        <f t="shared" si="68"/>
        <v>0</v>
      </c>
      <c r="P326" s="65"/>
      <c r="Q326" s="81"/>
      <c r="R326" s="115"/>
      <c r="S326" s="115">
        <f>N326</f>
        <v>0</v>
      </c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</row>
    <row r="327" spans="1:34" s="5" customFormat="1" ht="10.5" customHeight="1">
      <c r="A327" s="3" t="s">
        <v>214</v>
      </c>
      <c r="B327" s="136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>
        <f t="shared" si="68"/>
        <v>0</v>
      </c>
      <c r="P327" s="76"/>
      <c r="Q327" s="80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  <c r="AC327" s="114"/>
      <c r="AD327" s="114"/>
      <c r="AE327" s="114"/>
      <c r="AF327" s="114"/>
      <c r="AG327" s="114"/>
      <c r="AH327" s="114"/>
    </row>
    <row r="328" spans="1:34" s="6" customFormat="1" ht="12" customHeight="1">
      <c r="A328" s="15" t="s">
        <v>304</v>
      </c>
      <c r="B328" s="137">
        <f aca="true" t="shared" si="71" ref="B328:G328">SUM(B329:B345)</f>
        <v>0</v>
      </c>
      <c r="C328" s="137">
        <f t="shared" si="71"/>
        <v>0</v>
      </c>
      <c r="D328" s="137">
        <f t="shared" si="71"/>
        <v>0</v>
      </c>
      <c r="E328" s="137">
        <f t="shared" si="71"/>
        <v>0</v>
      </c>
      <c r="F328" s="137">
        <f t="shared" si="71"/>
        <v>0</v>
      </c>
      <c r="G328" s="137">
        <f t="shared" si="71"/>
        <v>58002083.08000003</v>
      </c>
      <c r="H328" s="137"/>
      <c r="I328" s="16"/>
      <c r="J328" s="16"/>
      <c r="K328" s="16"/>
      <c r="L328" s="16"/>
      <c r="M328" s="16"/>
      <c r="N328" s="16">
        <f>SUM(B328:M328)</f>
        <v>58002083.08000003</v>
      </c>
      <c r="O328" s="65">
        <f>SUM(N329:N345)</f>
        <v>58002083.08000003</v>
      </c>
      <c r="P328" s="65"/>
      <c r="Q328" s="81"/>
      <c r="R328" s="115"/>
      <c r="S328" s="115">
        <f>SUM(N329:N345)</f>
        <v>58002083.08000003</v>
      </c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</row>
    <row r="329" spans="1:34" s="5" customFormat="1" ht="12">
      <c r="A329" s="3" t="s">
        <v>283</v>
      </c>
      <c r="B329" s="136"/>
      <c r="C329" s="136"/>
      <c r="D329" s="136"/>
      <c r="E329" s="136"/>
      <c r="F329" s="136"/>
      <c r="G329" s="136">
        <v>3411887.24</v>
      </c>
      <c r="H329" s="4"/>
      <c r="I329" s="4"/>
      <c r="J329" s="4"/>
      <c r="K329" s="4"/>
      <c r="L329" s="4"/>
      <c r="M329" s="4"/>
      <c r="N329" s="4">
        <f>SUM(B329:M329)</f>
        <v>3411887.24</v>
      </c>
      <c r="P329" s="76"/>
      <c r="Q329" s="80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  <c r="AC329" s="114"/>
      <c r="AD329" s="114"/>
      <c r="AE329" s="114"/>
      <c r="AF329" s="114"/>
      <c r="AG329" s="114"/>
      <c r="AH329" s="114"/>
    </row>
    <row r="330" spans="1:34" s="5" customFormat="1" ht="12" customHeight="1">
      <c r="A330" s="3" t="s">
        <v>282</v>
      </c>
      <c r="B330" s="136"/>
      <c r="C330" s="136"/>
      <c r="D330" s="136"/>
      <c r="E330" s="136"/>
      <c r="F330" s="136"/>
      <c r="G330" s="136">
        <v>3411887.24</v>
      </c>
      <c r="H330" s="4"/>
      <c r="I330" s="4"/>
      <c r="J330" s="4"/>
      <c r="K330" s="4"/>
      <c r="L330" s="4"/>
      <c r="M330" s="4"/>
      <c r="N330" s="4">
        <f aca="true" t="shared" si="72" ref="N330:N345">SUM(B330:M330)</f>
        <v>3411887.24</v>
      </c>
      <c r="P330" s="76"/>
      <c r="Q330" s="80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  <c r="AC330" s="114"/>
      <c r="AD330" s="114"/>
      <c r="AE330" s="114"/>
      <c r="AF330" s="114"/>
      <c r="AG330" s="114"/>
      <c r="AH330" s="114"/>
    </row>
    <row r="331" spans="1:34" s="5" customFormat="1" ht="12" customHeight="1">
      <c r="A331" s="3" t="s">
        <v>281</v>
      </c>
      <c r="B331" s="136"/>
      <c r="C331" s="136"/>
      <c r="D331" s="136"/>
      <c r="E331" s="136"/>
      <c r="F331" s="136"/>
      <c r="G331" s="136">
        <v>3411887.24</v>
      </c>
      <c r="H331" s="4"/>
      <c r="I331" s="4"/>
      <c r="J331" s="4"/>
      <c r="K331" s="4"/>
      <c r="L331" s="4"/>
      <c r="M331" s="4"/>
      <c r="N331" s="4">
        <f t="shared" si="72"/>
        <v>3411887.24</v>
      </c>
      <c r="P331" s="76"/>
      <c r="Q331" s="80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  <c r="AC331" s="114"/>
      <c r="AD331" s="114"/>
      <c r="AE331" s="114"/>
      <c r="AF331" s="114"/>
      <c r="AG331" s="114"/>
      <c r="AH331" s="114"/>
    </row>
    <row r="332" spans="1:34" s="5" customFormat="1" ht="12" customHeight="1">
      <c r="A332" s="3" t="s">
        <v>240</v>
      </c>
      <c r="B332" s="136"/>
      <c r="C332" s="136"/>
      <c r="D332" s="136"/>
      <c r="E332" s="136"/>
      <c r="F332" s="136"/>
      <c r="G332" s="136">
        <v>3411887.24</v>
      </c>
      <c r="H332" s="4"/>
      <c r="I332" s="4"/>
      <c r="J332" s="4"/>
      <c r="K332" s="4"/>
      <c r="L332" s="4"/>
      <c r="M332" s="4"/>
      <c r="N332" s="4">
        <f t="shared" si="72"/>
        <v>3411887.24</v>
      </c>
      <c r="P332" s="76"/>
      <c r="Q332" s="80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  <c r="AC332" s="114"/>
      <c r="AD332" s="114"/>
      <c r="AE332" s="114"/>
      <c r="AF332" s="114"/>
      <c r="AG332" s="114"/>
      <c r="AH332" s="114"/>
    </row>
    <row r="333" spans="1:34" s="5" customFormat="1" ht="12">
      <c r="A333" s="3" t="s">
        <v>241</v>
      </c>
      <c r="B333" s="136"/>
      <c r="C333" s="136"/>
      <c r="D333" s="136"/>
      <c r="E333" s="136"/>
      <c r="F333" s="136"/>
      <c r="G333" s="136">
        <v>3411887.24</v>
      </c>
      <c r="H333" s="4"/>
      <c r="I333" s="4"/>
      <c r="J333" s="4"/>
      <c r="K333" s="4"/>
      <c r="L333" s="4"/>
      <c r="M333" s="4"/>
      <c r="N333" s="4">
        <f t="shared" si="72"/>
        <v>3411887.24</v>
      </c>
      <c r="P333" s="76"/>
      <c r="Q333" s="80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  <c r="AC333" s="114"/>
      <c r="AD333" s="114"/>
      <c r="AE333" s="114"/>
      <c r="AF333" s="114"/>
      <c r="AG333" s="114"/>
      <c r="AH333" s="114"/>
    </row>
    <row r="334" spans="1:34" s="5" customFormat="1" ht="12" customHeight="1">
      <c r="A334" s="3" t="s">
        <v>243</v>
      </c>
      <c r="B334" s="136"/>
      <c r="C334" s="136"/>
      <c r="D334" s="136"/>
      <c r="E334" s="136"/>
      <c r="F334" s="136"/>
      <c r="G334" s="136">
        <v>3411887.24</v>
      </c>
      <c r="H334" s="4"/>
      <c r="I334" s="4"/>
      <c r="J334" s="4"/>
      <c r="K334" s="4"/>
      <c r="L334" s="4"/>
      <c r="M334" s="4"/>
      <c r="N334" s="4">
        <f t="shared" si="72"/>
        <v>3411887.24</v>
      </c>
      <c r="P334" s="76"/>
      <c r="Q334" s="80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  <c r="AC334" s="114"/>
      <c r="AD334" s="114"/>
      <c r="AE334" s="114"/>
      <c r="AF334" s="114"/>
      <c r="AG334" s="114"/>
      <c r="AH334" s="114"/>
    </row>
    <row r="335" spans="1:34" s="5" customFormat="1" ht="12" customHeight="1">
      <c r="A335" s="3" t="s">
        <v>244</v>
      </c>
      <c r="B335" s="136"/>
      <c r="C335" s="136"/>
      <c r="D335" s="136"/>
      <c r="E335" s="136"/>
      <c r="F335" s="136"/>
      <c r="G335" s="136">
        <v>3411887.24</v>
      </c>
      <c r="H335" s="4"/>
      <c r="I335" s="4"/>
      <c r="J335" s="4"/>
      <c r="K335" s="4"/>
      <c r="L335" s="4"/>
      <c r="M335" s="4"/>
      <c r="N335" s="4">
        <f t="shared" si="72"/>
        <v>3411887.24</v>
      </c>
      <c r="P335" s="76"/>
      <c r="Q335" s="80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  <c r="AC335" s="114"/>
      <c r="AD335" s="114"/>
      <c r="AE335" s="114"/>
      <c r="AF335" s="114"/>
      <c r="AG335" s="114"/>
      <c r="AH335" s="114"/>
    </row>
    <row r="336" spans="1:34" s="5" customFormat="1" ht="12" customHeight="1">
      <c r="A336" s="3" t="s">
        <v>245</v>
      </c>
      <c r="B336" s="136"/>
      <c r="C336" s="136"/>
      <c r="D336" s="136"/>
      <c r="E336" s="136"/>
      <c r="F336" s="136"/>
      <c r="G336" s="136">
        <v>3411887.24</v>
      </c>
      <c r="H336" s="4"/>
      <c r="I336" s="4"/>
      <c r="J336" s="4"/>
      <c r="K336" s="4"/>
      <c r="L336" s="4"/>
      <c r="M336" s="4"/>
      <c r="N336" s="4">
        <f t="shared" si="72"/>
        <v>3411887.24</v>
      </c>
      <c r="P336" s="76"/>
      <c r="Q336" s="80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  <c r="AC336" s="114"/>
      <c r="AD336" s="114"/>
      <c r="AE336" s="114"/>
      <c r="AF336" s="114"/>
      <c r="AG336" s="114"/>
      <c r="AH336" s="114"/>
    </row>
    <row r="337" spans="1:34" s="5" customFormat="1" ht="12" customHeight="1">
      <c r="A337" s="3" t="s">
        <v>280</v>
      </c>
      <c r="B337" s="136"/>
      <c r="C337" s="136"/>
      <c r="D337" s="136"/>
      <c r="E337" s="136"/>
      <c r="F337" s="136"/>
      <c r="G337" s="136">
        <v>3411887.24</v>
      </c>
      <c r="H337" s="4"/>
      <c r="I337" s="4"/>
      <c r="J337" s="4"/>
      <c r="K337" s="4"/>
      <c r="L337" s="4"/>
      <c r="M337" s="4"/>
      <c r="N337" s="4">
        <f t="shared" si="72"/>
        <v>3411887.24</v>
      </c>
      <c r="P337" s="76"/>
      <c r="Q337" s="80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4"/>
      <c r="AF337" s="114"/>
      <c r="AG337" s="114"/>
      <c r="AH337" s="114"/>
    </row>
    <row r="338" spans="1:34" s="5" customFormat="1" ht="12" customHeight="1">
      <c r="A338" s="3" t="s">
        <v>247</v>
      </c>
      <c r="B338" s="136"/>
      <c r="C338" s="136"/>
      <c r="D338" s="136"/>
      <c r="E338" s="136"/>
      <c r="F338" s="136"/>
      <c r="G338" s="136">
        <v>3411887.24</v>
      </c>
      <c r="H338" s="4"/>
      <c r="I338" s="4"/>
      <c r="J338" s="4"/>
      <c r="K338" s="4"/>
      <c r="L338" s="4"/>
      <c r="M338" s="4"/>
      <c r="N338" s="4">
        <f t="shared" si="72"/>
        <v>3411887.24</v>
      </c>
      <c r="P338" s="76"/>
      <c r="Q338" s="80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4"/>
      <c r="AF338" s="114"/>
      <c r="AG338" s="114"/>
      <c r="AH338" s="114"/>
    </row>
    <row r="339" spans="1:34" s="5" customFormat="1" ht="12" customHeight="1">
      <c r="A339" s="3" t="s">
        <v>296</v>
      </c>
      <c r="B339" s="136"/>
      <c r="C339" s="136"/>
      <c r="D339" s="136"/>
      <c r="E339" s="136"/>
      <c r="F339" s="136"/>
      <c r="G339" s="136">
        <v>3411887.24</v>
      </c>
      <c r="H339" s="4"/>
      <c r="I339" s="4"/>
      <c r="J339" s="4"/>
      <c r="K339" s="4"/>
      <c r="L339" s="4"/>
      <c r="M339" s="4"/>
      <c r="N339" s="4">
        <f t="shared" si="72"/>
        <v>3411887.24</v>
      </c>
      <c r="P339" s="76"/>
      <c r="Q339" s="80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  <c r="AC339" s="114"/>
      <c r="AD339" s="114"/>
      <c r="AE339" s="114"/>
      <c r="AF339" s="114"/>
      <c r="AG339" s="114"/>
      <c r="AH339" s="114"/>
    </row>
    <row r="340" spans="1:34" s="5" customFormat="1" ht="12">
      <c r="A340" s="3" t="s">
        <v>249</v>
      </c>
      <c r="B340" s="136"/>
      <c r="C340" s="136"/>
      <c r="D340" s="136"/>
      <c r="E340" s="136"/>
      <c r="F340" s="136"/>
      <c r="G340" s="136">
        <v>3411887.24</v>
      </c>
      <c r="H340" s="4"/>
      <c r="I340" s="4"/>
      <c r="J340" s="4"/>
      <c r="K340" s="4"/>
      <c r="L340" s="4"/>
      <c r="M340" s="4"/>
      <c r="N340" s="4">
        <f t="shared" si="72"/>
        <v>3411887.24</v>
      </c>
      <c r="P340" s="76"/>
      <c r="Q340" s="80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  <c r="AC340" s="114"/>
      <c r="AD340" s="114"/>
      <c r="AE340" s="114"/>
      <c r="AF340" s="114"/>
      <c r="AG340" s="114"/>
      <c r="AH340" s="114"/>
    </row>
    <row r="341" spans="1:34" s="5" customFormat="1" ht="12" customHeight="1">
      <c r="A341" s="3" t="s">
        <v>250</v>
      </c>
      <c r="B341" s="136"/>
      <c r="C341" s="136"/>
      <c r="D341" s="136"/>
      <c r="E341" s="136"/>
      <c r="F341" s="136"/>
      <c r="G341" s="136">
        <v>3411887.24</v>
      </c>
      <c r="H341" s="4"/>
      <c r="I341" s="4"/>
      <c r="J341" s="4"/>
      <c r="K341" s="4"/>
      <c r="L341" s="4"/>
      <c r="M341" s="4"/>
      <c r="N341" s="4">
        <f t="shared" si="72"/>
        <v>3411887.24</v>
      </c>
      <c r="P341" s="76"/>
      <c r="Q341" s="80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  <c r="AC341" s="114"/>
      <c r="AD341" s="114"/>
      <c r="AE341" s="114"/>
      <c r="AF341" s="114"/>
      <c r="AG341" s="114"/>
      <c r="AH341" s="114"/>
    </row>
    <row r="342" spans="1:34" s="5" customFormat="1" ht="12" customHeight="1">
      <c r="A342" s="3" t="s">
        <v>284</v>
      </c>
      <c r="B342" s="136"/>
      <c r="C342" s="136"/>
      <c r="D342" s="136"/>
      <c r="E342" s="136"/>
      <c r="F342" s="136"/>
      <c r="G342" s="136">
        <v>3411887.24</v>
      </c>
      <c r="H342" s="4"/>
      <c r="I342" s="4"/>
      <c r="J342" s="4"/>
      <c r="K342" s="4"/>
      <c r="L342" s="4"/>
      <c r="M342" s="4"/>
      <c r="N342" s="4">
        <f t="shared" si="72"/>
        <v>3411887.24</v>
      </c>
      <c r="P342" s="76"/>
      <c r="Q342" s="80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  <c r="AC342" s="114"/>
      <c r="AD342" s="114"/>
      <c r="AE342" s="114"/>
      <c r="AF342" s="114"/>
      <c r="AG342" s="114"/>
      <c r="AH342" s="114"/>
    </row>
    <row r="343" spans="1:34" s="5" customFormat="1" ht="12" customHeight="1">
      <c r="A343" s="3" t="s">
        <v>297</v>
      </c>
      <c r="B343" s="136"/>
      <c r="C343" s="136"/>
      <c r="D343" s="136"/>
      <c r="E343" s="136"/>
      <c r="F343" s="136"/>
      <c r="G343" s="136">
        <v>3411887.24</v>
      </c>
      <c r="H343" s="4"/>
      <c r="I343" s="4"/>
      <c r="J343" s="4"/>
      <c r="K343" s="4"/>
      <c r="L343" s="4"/>
      <c r="M343" s="4"/>
      <c r="N343" s="4">
        <f t="shared" si="72"/>
        <v>3411887.24</v>
      </c>
      <c r="P343" s="76"/>
      <c r="Q343" s="80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  <c r="AC343" s="114"/>
      <c r="AD343" s="114"/>
      <c r="AE343" s="114"/>
      <c r="AF343" s="114"/>
      <c r="AG343" s="114"/>
      <c r="AH343" s="114"/>
    </row>
    <row r="344" spans="1:34" s="5" customFormat="1" ht="12" customHeight="1">
      <c r="A344" s="3" t="s">
        <v>325</v>
      </c>
      <c r="B344" s="136"/>
      <c r="C344" s="136"/>
      <c r="D344" s="136"/>
      <c r="E344" s="136"/>
      <c r="F344" s="136"/>
      <c r="G344" s="136">
        <v>3411887.24</v>
      </c>
      <c r="H344" s="4"/>
      <c r="I344" s="4"/>
      <c r="J344" s="4"/>
      <c r="K344" s="4"/>
      <c r="L344" s="4"/>
      <c r="M344" s="4"/>
      <c r="N344" s="4">
        <f t="shared" si="72"/>
        <v>3411887.24</v>
      </c>
      <c r="P344" s="76"/>
      <c r="Q344" s="80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  <c r="AC344" s="114"/>
      <c r="AD344" s="114"/>
      <c r="AE344" s="114"/>
      <c r="AF344" s="114"/>
      <c r="AG344" s="114"/>
      <c r="AH344" s="114"/>
    </row>
    <row r="345" spans="1:34" s="5" customFormat="1" ht="12" customHeight="1">
      <c r="A345" s="3" t="s">
        <v>327</v>
      </c>
      <c r="B345" s="4"/>
      <c r="C345" s="136"/>
      <c r="D345" s="136"/>
      <c r="E345" s="136"/>
      <c r="F345" s="136"/>
      <c r="G345" s="136">
        <v>3411887.24</v>
      </c>
      <c r="H345" s="4"/>
      <c r="I345" s="4"/>
      <c r="J345" s="4"/>
      <c r="K345" s="4"/>
      <c r="L345" s="4"/>
      <c r="M345" s="4"/>
      <c r="N345" s="4">
        <f t="shared" si="72"/>
        <v>3411887.24</v>
      </c>
      <c r="P345" s="76"/>
      <c r="Q345" s="80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  <c r="AC345" s="114"/>
      <c r="AD345" s="114"/>
      <c r="AE345" s="114"/>
      <c r="AF345" s="114"/>
      <c r="AG345" s="114"/>
      <c r="AH345" s="114"/>
    </row>
    <row r="346" spans="1:34" s="6" customFormat="1" ht="12" customHeight="1">
      <c r="A346" s="15" t="s">
        <v>316</v>
      </c>
      <c r="B346" s="137">
        <f>SUM(B347:B367)</f>
        <v>0</v>
      </c>
      <c r="C346" s="137">
        <f aca="true" t="shared" si="73" ref="C346:M346">SUM(C347:C367)</f>
        <v>0</v>
      </c>
      <c r="D346" s="137">
        <f t="shared" si="73"/>
        <v>0</v>
      </c>
      <c r="E346" s="137">
        <f t="shared" si="73"/>
        <v>0</v>
      </c>
      <c r="F346" s="137">
        <f t="shared" si="73"/>
        <v>0</v>
      </c>
      <c r="G346" s="137">
        <f t="shared" si="73"/>
        <v>0</v>
      </c>
      <c r="H346" s="137">
        <f t="shared" si="73"/>
        <v>0</v>
      </c>
      <c r="I346" s="137">
        <f t="shared" si="73"/>
        <v>0</v>
      </c>
      <c r="J346" s="137">
        <f t="shared" si="73"/>
        <v>0</v>
      </c>
      <c r="K346" s="137">
        <f t="shared" si="73"/>
        <v>0</v>
      </c>
      <c r="L346" s="137">
        <f t="shared" si="73"/>
        <v>0</v>
      </c>
      <c r="M346" s="137">
        <f t="shared" si="73"/>
        <v>23650000.016000003</v>
      </c>
      <c r="N346" s="16">
        <f>SUM(B346:M346)</f>
        <v>23650000.016000003</v>
      </c>
      <c r="P346" s="65"/>
      <c r="Q346" s="81"/>
      <c r="R346" s="115"/>
      <c r="S346" s="115">
        <f>SUM(N347:N367)</f>
        <v>23650000.016000003</v>
      </c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</row>
    <row r="347" spans="1:34" s="5" customFormat="1" ht="12" customHeight="1">
      <c r="A347" s="3" t="s">
        <v>283</v>
      </c>
      <c r="B347" s="136"/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  <c r="M347" s="136">
        <f>(N45/12)*40%</f>
        <v>23650000.016000003</v>
      </c>
      <c r="N347" s="4">
        <f>SUM(B347:M347)</f>
        <v>23650000.016000003</v>
      </c>
      <c r="P347" s="76"/>
      <c r="Q347" s="80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  <c r="AC347" s="114"/>
      <c r="AD347" s="114"/>
      <c r="AE347" s="114"/>
      <c r="AF347" s="114"/>
      <c r="AG347" s="114"/>
      <c r="AH347" s="114"/>
    </row>
    <row r="348" spans="1:34" s="5" customFormat="1" ht="12" customHeight="1" hidden="1">
      <c r="A348" s="3" t="s">
        <v>282</v>
      </c>
      <c r="B348" s="136"/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  <c r="M348" s="136"/>
      <c r="N348" s="4">
        <f aca="true" t="shared" si="74" ref="N348:N370">SUM(B348:M348)</f>
        <v>0</v>
      </c>
      <c r="P348" s="76"/>
      <c r="Q348" s="80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  <c r="AC348" s="114"/>
      <c r="AD348" s="114"/>
      <c r="AE348" s="114"/>
      <c r="AF348" s="114"/>
      <c r="AG348" s="114"/>
      <c r="AH348" s="114"/>
    </row>
    <row r="349" spans="1:34" s="5" customFormat="1" ht="12" customHeight="1" hidden="1">
      <c r="A349" s="3" t="s">
        <v>281</v>
      </c>
      <c r="B349" s="136"/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  <c r="M349" s="136"/>
      <c r="N349" s="4">
        <f t="shared" si="74"/>
        <v>0</v>
      </c>
      <c r="P349" s="76"/>
      <c r="Q349" s="80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  <c r="AC349" s="114"/>
      <c r="AD349" s="114"/>
      <c r="AE349" s="114"/>
      <c r="AF349" s="114"/>
      <c r="AG349" s="114"/>
      <c r="AH349" s="114"/>
    </row>
    <row r="350" spans="1:34" s="5" customFormat="1" ht="12" customHeight="1" hidden="1">
      <c r="A350" s="3" t="s">
        <v>239</v>
      </c>
      <c r="B350" s="136"/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  <c r="M350" s="136"/>
      <c r="N350" s="4">
        <f t="shared" si="74"/>
        <v>0</v>
      </c>
      <c r="P350" s="76"/>
      <c r="Q350" s="80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  <c r="AC350" s="114"/>
      <c r="AD350" s="114"/>
      <c r="AE350" s="114"/>
      <c r="AF350" s="114"/>
      <c r="AG350" s="114"/>
      <c r="AH350" s="114"/>
    </row>
    <row r="351" spans="1:34" s="5" customFormat="1" ht="12" customHeight="1" hidden="1">
      <c r="A351" s="3" t="s">
        <v>240</v>
      </c>
      <c r="B351" s="136"/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  <c r="M351" s="136"/>
      <c r="N351" s="4">
        <f t="shared" si="74"/>
        <v>0</v>
      </c>
      <c r="P351" s="76"/>
      <c r="Q351" s="80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  <c r="AC351" s="114"/>
      <c r="AD351" s="114"/>
      <c r="AE351" s="114"/>
      <c r="AF351" s="114"/>
      <c r="AG351" s="114"/>
      <c r="AH351" s="114"/>
    </row>
    <row r="352" spans="1:34" s="5" customFormat="1" ht="12" customHeight="1" hidden="1">
      <c r="A352" s="3" t="s">
        <v>241</v>
      </c>
      <c r="B352" s="136"/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  <c r="M352" s="136"/>
      <c r="N352" s="4">
        <f t="shared" si="74"/>
        <v>0</v>
      </c>
      <c r="P352" s="76"/>
      <c r="Q352" s="80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4"/>
      <c r="AF352" s="114"/>
      <c r="AG352" s="114"/>
      <c r="AH352" s="114"/>
    </row>
    <row r="353" spans="1:34" s="5" customFormat="1" ht="12" customHeight="1" hidden="1">
      <c r="A353" s="3" t="s">
        <v>242</v>
      </c>
      <c r="B353" s="136"/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4">
        <f t="shared" si="74"/>
        <v>0</v>
      </c>
      <c r="P353" s="76"/>
      <c r="Q353" s="80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4"/>
      <c r="AF353" s="114"/>
      <c r="AG353" s="114"/>
      <c r="AH353" s="114"/>
    </row>
    <row r="354" spans="1:34" s="5" customFormat="1" ht="12" customHeight="1" hidden="1">
      <c r="A354" s="3" t="s">
        <v>243</v>
      </c>
      <c r="B354" s="136"/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  <c r="M354" s="136"/>
      <c r="N354" s="4">
        <f t="shared" si="74"/>
        <v>0</v>
      </c>
      <c r="P354" s="76"/>
      <c r="Q354" s="80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  <c r="AC354" s="114"/>
      <c r="AD354" s="114"/>
      <c r="AE354" s="114"/>
      <c r="AF354" s="114"/>
      <c r="AG354" s="114"/>
      <c r="AH354" s="114"/>
    </row>
    <row r="355" spans="1:34" s="5" customFormat="1" ht="12" customHeight="1" hidden="1">
      <c r="A355" s="3" t="s">
        <v>244</v>
      </c>
      <c r="B355" s="136"/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  <c r="M355" s="136"/>
      <c r="N355" s="4">
        <f t="shared" si="74"/>
        <v>0</v>
      </c>
      <c r="P355" s="76"/>
      <c r="Q355" s="80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  <c r="AC355" s="114"/>
      <c r="AD355" s="114"/>
      <c r="AE355" s="114"/>
      <c r="AF355" s="114"/>
      <c r="AG355" s="114"/>
      <c r="AH355" s="114"/>
    </row>
    <row r="356" spans="1:34" s="5" customFormat="1" ht="12" customHeight="1" hidden="1">
      <c r="A356" s="3" t="s">
        <v>245</v>
      </c>
      <c r="B356" s="136"/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  <c r="M356" s="136"/>
      <c r="N356" s="4">
        <f t="shared" si="74"/>
        <v>0</v>
      </c>
      <c r="P356" s="76"/>
      <c r="Q356" s="80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  <c r="AC356" s="114"/>
      <c r="AD356" s="114"/>
      <c r="AE356" s="114"/>
      <c r="AF356" s="114"/>
      <c r="AG356" s="114"/>
      <c r="AH356" s="114"/>
    </row>
    <row r="357" spans="1:34" s="5" customFormat="1" ht="12" customHeight="1" hidden="1">
      <c r="A357" s="3" t="s">
        <v>280</v>
      </c>
      <c r="B357" s="136"/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  <c r="M357" s="136"/>
      <c r="N357" s="4">
        <f t="shared" si="74"/>
        <v>0</v>
      </c>
      <c r="P357" s="76"/>
      <c r="Q357" s="80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  <c r="AC357" s="114"/>
      <c r="AD357" s="114"/>
      <c r="AE357" s="114"/>
      <c r="AF357" s="114"/>
      <c r="AG357" s="114"/>
      <c r="AH357" s="114"/>
    </row>
    <row r="358" spans="1:34" s="5" customFormat="1" ht="12" customHeight="1" hidden="1">
      <c r="A358" s="3" t="s">
        <v>247</v>
      </c>
      <c r="B358" s="136"/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4">
        <f t="shared" si="74"/>
        <v>0</v>
      </c>
      <c r="P358" s="76"/>
      <c r="Q358" s="80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  <c r="AC358" s="114"/>
      <c r="AD358" s="114"/>
      <c r="AE358" s="114"/>
      <c r="AF358" s="114"/>
      <c r="AG358" s="114"/>
      <c r="AH358" s="114"/>
    </row>
    <row r="359" spans="1:34" s="5" customFormat="1" ht="12" customHeight="1" hidden="1">
      <c r="A359" s="3" t="s">
        <v>248</v>
      </c>
      <c r="B359" s="136"/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  <c r="M359" s="136"/>
      <c r="N359" s="4">
        <f t="shared" si="74"/>
        <v>0</v>
      </c>
      <c r="P359" s="76"/>
      <c r="Q359" s="80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  <c r="AC359" s="114"/>
      <c r="AD359" s="114"/>
      <c r="AE359" s="114"/>
      <c r="AF359" s="114"/>
      <c r="AG359" s="114"/>
      <c r="AH359" s="114"/>
    </row>
    <row r="360" spans="1:34" s="5" customFormat="1" ht="12" customHeight="1" hidden="1">
      <c r="A360" s="3" t="s">
        <v>296</v>
      </c>
      <c r="B360" s="136"/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  <c r="M360" s="136"/>
      <c r="N360" s="4">
        <f t="shared" si="74"/>
        <v>0</v>
      </c>
      <c r="P360" s="76"/>
      <c r="Q360" s="80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  <c r="AC360" s="114"/>
      <c r="AD360" s="114"/>
      <c r="AE360" s="114"/>
      <c r="AF360" s="114"/>
      <c r="AG360" s="114"/>
      <c r="AH360" s="114"/>
    </row>
    <row r="361" spans="1:34" s="5" customFormat="1" ht="12" customHeight="1" hidden="1">
      <c r="A361" s="3" t="s">
        <v>249</v>
      </c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4">
        <f t="shared" si="74"/>
        <v>0</v>
      </c>
      <c r="P361" s="76"/>
      <c r="Q361" s="80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  <c r="AC361" s="114"/>
      <c r="AD361" s="114"/>
      <c r="AE361" s="114"/>
      <c r="AF361" s="114"/>
      <c r="AG361" s="114"/>
      <c r="AH361" s="114"/>
    </row>
    <row r="362" spans="1:34" s="5" customFormat="1" ht="12" customHeight="1" hidden="1">
      <c r="A362" s="3" t="s">
        <v>250</v>
      </c>
      <c r="B362" s="136"/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  <c r="M362" s="136"/>
      <c r="N362" s="4">
        <f t="shared" si="74"/>
        <v>0</v>
      </c>
      <c r="P362" s="76"/>
      <c r="Q362" s="80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  <c r="AC362" s="114"/>
      <c r="AD362" s="114"/>
      <c r="AE362" s="114"/>
      <c r="AF362" s="114"/>
      <c r="AG362" s="114"/>
      <c r="AH362" s="114"/>
    </row>
    <row r="363" spans="1:34" s="5" customFormat="1" ht="12" customHeight="1" hidden="1">
      <c r="A363" s="3" t="s">
        <v>251</v>
      </c>
      <c r="B363" s="136"/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  <c r="M363" s="136"/>
      <c r="N363" s="4">
        <f t="shared" si="74"/>
        <v>0</v>
      </c>
      <c r="P363" s="76"/>
      <c r="Q363" s="80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  <c r="AC363" s="114"/>
      <c r="AD363" s="114"/>
      <c r="AE363" s="114"/>
      <c r="AF363" s="114"/>
      <c r="AG363" s="114"/>
      <c r="AH363" s="114"/>
    </row>
    <row r="364" spans="1:34" s="5" customFormat="1" ht="12" customHeight="1" hidden="1">
      <c r="A364" s="3" t="s">
        <v>284</v>
      </c>
      <c r="B364" s="136"/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  <c r="M364" s="136"/>
      <c r="N364" s="4">
        <f t="shared" si="74"/>
        <v>0</v>
      </c>
      <c r="P364" s="76"/>
      <c r="Q364" s="80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  <c r="AC364" s="114"/>
      <c r="AD364" s="114"/>
      <c r="AE364" s="114"/>
      <c r="AF364" s="114"/>
      <c r="AG364" s="114"/>
      <c r="AH364" s="114"/>
    </row>
    <row r="365" spans="1:34" s="5" customFormat="1" ht="12" customHeight="1" hidden="1">
      <c r="A365" s="3" t="s">
        <v>297</v>
      </c>
      <c r="B365" s="136"/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  <c r="M365" s="136"/>
      <c r="N365" s="4">
        <f t="shared" si="74"/>
        <v>0</v>
      </c>
      <c r="P365" s="76"/>
      <c r="Q365" s="80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  <c r="AC365" s="114"/>
      <c r="AD365" s="114"/>
      <c r="AE365" s="114"/>
      <c r="AF365" s="114"/>
      <c r="AG365" s="114"/>
      <c r="AH365" s="114"/>
    </row>
    <row r="366" spans="1:34" s="5" customFormat="1" ht="12" customHeight="1" hidden="1">
      <c r="A366" s="3" t="s">
        <v>325</v>
      </c>
      <c r="B366" s="136"/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  <c r="M366" s="136"/>
      <c r="N366" s="4">
        <f t="shared" si="74"/>
        <v>0</v>
      </c>
      <c r="P366" s="76"/>
      <c r="Q366" s="80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  <c r="AC366" s="114"/>
      <c r="AD366" s="114"/>
      <c r="AE366" s="114"/>
      <c r="AF366" s="114"/>
      <c r="AG366" s="114"/>
      <c r="AH366" s="114"/>
    </row>
    <row r="367" spans="1:34" s="5" customFormat="1" ht="12" customHeight="1" hidden="1">
      <c r="A367" s="3" t="s">
        <v>327</v>
      </c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4">
        <f t="shared" si="74"/>
        <v>0</v>
      </c>
      <c r="P367" s="76"/>
      <c r="Q367" s="80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4"/>
      <c r="AD367" s="114"/>
      <c r="AE367" s="114"/>
      <c r="AF367" s="114"/>
      <c r="AG367" s="114"/>
      <c r="AH367" s="114"/>
    </row>
    <row r="368" spans="1:34" s="6" customFormat="1" ht="12" customHeight="1" hidden="1">
      <c r="A368" s="15" t="s">
        <v>354</v>
      </c>
      <c r="B368" s="137"/>
      <c r="C368" s="137"/>
      <c r="D368" s="137"/>
      <c r="E368" s="136"/>
      <c r="F368" s="136"/>
      <c r="G368" s="136"/>
      <c r="H368" s="136"/>
      <c r="I368" s="137"/>
      <c r="J368" s="137"/>
      <c r="K368" s="137"/>
      <c r="L368" s="137"/>
      <c r="M368" s="137"/>
      <c r="N368" s="4">
        <f t="shared" si="74"/>
        <v>0</v>
      </c>
      <c r="P368" s="65"/>
      <c r="Q368" s="81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</row>
    <row r="369" spans="1:34" s="6" customFormat="1" ht="12" customHeight="1" hidden="1">
      <c r="A369" s="15" t="s">
        <v>355</v>
      </c>
      <c r="B369" s="137"/>
      <c r="C369" s="137"/>
      <c r="D369" s="137"/>
      <c r="E369" s="136"/>
      <c r="F369" s="136"/>
      <c r="G369" s="136"/>
      <c r="H369" s="184"/>
      <c r="I369" s="137"/>
      <c r="J369" s="137"/>
      <c r="K369" s="137"/>
      <c r="L369" s="137"/>
      <c r="M369" s="137"/>
      <c r="N369" s="4">
        <f t="shared" si="74"/>
        <v>0</v>
      </c>
      <c r="P369" s="65"/>
      <c r="Q369" s="81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</row>
    <row r="370" spans="1:34" s="6" customFormat="1" ht="12" customHeight="1" hidden="1">
      <c r="A370" s="15" t="s">
        <v>356</v>
      </c>
      <c r="B370" s="137"/>
      <c r="C370" s="137"/>
      <c r="D370" s="137"/>
      <c r="E370" s="136"/>
      <c r="F370" s="136"/>
      <c r="G370" s="136"/>
      <c r="H370" s="136"/>
      <c r="I370" s="137"/>
      <c r="J370" s="137"/>
      <c r="K370" s="137"/>
      <c r="L370" s="137"/>
      <c r="M370" s="137"/>
      <c r="N370" s="4">
        <f t="shared" si="74"/>
        <v>0</v>
      </c>
      <c r="P370" s="65"/>
      <c r="Q370" s="81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</row>
    <row r="371" spans="1:34" s="24" customFormat="1" ht="12" customHeight="1">
      <c r="A371" s="15" t="s">
        <v>122</v>
      </c>
      <c r="B371" s="137">
        <f>SUM(B372:B374)</f>
        <v>8128140.4799999995</v>
      </c>
      <c r="C371" s="137">
        <f aca="true" t="shared" si="75" ref="C371:M371">SUM(C372:C374)</f>
        <v>8128140.4799999995</v>
      </c>
      <c r="D371" s="137">
        <f t="shared" si="75"/>
        <v>8128140.4799999995</v>
      </c>
      <c r="E371" s="137">
        <f t="shared" si="75"/>
        <v>8128140.4799999995</v>
      </c>
      <c r="F371" s="137">
        <f t="shared" si="75"/>
        <v>8128140.4799999995</v>
      </c>
      <c r="G371" s="137">
        <f t="shared" si="75"/>
        <v>8128140.4799999995</v>
      </c>
      <c r="H371" s="137">
        <f t="shared" si="75"/>
        <v>8128140.4799999995</v>
      </c>
      <c r="I371" s="137">
        <f t="shared" si="75"/>
        <v>8128140.4799999995</v>
      </c>
      <c r="J371" s="137">
        <f t="shared" si="75"/>
        <v>8128140.4799999995</v>
      </c>
      <c r="K371" s="137">
        <f t="shared" si="75"/>
        <v>8128140.4799999995</v>
      </c>
      <c r="L371" s="137">
        <f t="shared" si="75"/>
        <v>8128140.4799999995</v>
      </c>
      <c r="M371" s="137">
        <f t="shared" si="75"/>
        <v>8128140.4799999995</v>
      </c>
      <c r="N371" s="16">
        <f>SUM(N372:N374)</f>
        <v>97537685.76</v>
      </c>
      <c r="O371" s="66">
        <f>SUM(B1032:M1032)</f>
        <v>0</v>
      </c>
      <c r="P371" s="34">
        <f>SUM(B1032:I1032)</f>
        <v>0</v>
      </c>
      <c r="Q371" s="69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 t="e">
        <f>N372+#REF!</f>
        <v>#REF!</v>
      </c>
    </row>
    <row r="372" spans="1:34" s="24" customFormat="1" ht="12" customHeight="1">
      <c r="A372" s="3" t="s">
        <v>655</v>
      </c>
      <c r="B372" s="17">
        <f>3545190+122475</f>
        <v>3667665</v>
      </c>
      <c r="C372" s="17">
        <f aca="true" t="shared" si="76" ref="C372:M372">3545190+122475</f>
        <v>3667665</v>
      </c>
      <c r="D372" s="17">
        <f t="shared" si="76"/>
        <v>3667665</v>
      </c>
      <c r="E372" s="17">
        <f t="shared" si="76"/>
        <v>3667665</v>
      </c>
      <c r="F372" s="17">
        <f t="shared" si="76"/>
        <v>3667665</v>
      </c>
      <c r="G372" s="17">
        <f t="shared" si="76"/>
        <v>3667665</v>
      </c>
      <c r="H372" s="17">
        <f t="shared" si="76"/>
        <v>3667665</v>
      </c>
      <c r="I372" s="17">
        <f t="shared" si="76"/>
        <v>3667665</v>
      </c>
      <c r="J372" s="17">
        <f t="shared" si="76"/>
        <v>3667665</v>
      </c>
      <c r="K372" s="17">
        <f t="shared" si="76"/>
        <v>3667665</v>
      </c>
      <c r="L372" s="17">
        <f t="shared" si="76"/>
        <v>3667665</v>
      </c>
      <c r="M372" s="17">
        <f t="shared" si="76"/>
        <v>3667665</v>
      </c>
      <c r="N372" s="19">
        <f>SUM(B372:M372)</f>
        <v>44011980</v>
      </c>
      <c r="O372" s="66">
        <f>SUM(B1033:M1033)</f>
        <v>728012241.9600003</v>
      </c>
      <c r="P372" s="76">
        <f>SUM(B1033:I1033)</f>
        <v>486492707.20000005</v>
      </c>
      <c r="Q372" s="69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 t="e">
        <f>N373+#REF!</f>
        <v>#REF!</v>
      </c>
    </row>
    <row r="373" spans="1:34" s="24" customFormat="1" ht="12" customHeight="1">
      <c r="A373" s="3" t="s">
        <v>656</v>
      </c>
      <c r="B373" s="17">
        <f>3970285.46+115304.67</f>
        <v>4085590.13</v>
      </c>
      <c r="C373" s="17">
        <f aca="true" t="shared" si="77" ref="C373:M373">3970285.46+115304.67</f>
        <v>4085590.13</v>
      </c>
      <c r="D373" s="17">
        <f t="shared" si="77"/>
        <v>4085590.13</v>
      </c>
      <c r="E373" s="17">
        <f t="shared" si="77"/>
        <v>4085590.13</v>
      </c>
      <c r="F373" s="17">
        <f t="shared" si="77"/>
        <v>4085590.13</v>
      </c>
      <c r="G373" s="17">
        <f t="shared" si="77"/>
        <v>4085590.13</v>
      </c>
      <c r="H373" s="17">
        <f t="shared" si="77"/>
        <v>4085590.13</v>
      </c>
      <c r="I373" s="17">
        <f t="shared" si="77"/>
        <v>4085590.13</v>
      </c>
      <c r="J373" s="17">
        <f t="shared" si="77"/>
        <v>4085590.13</v>
      </c>
      <c r="K373" s="17">
        <f t="shared" si="77"/>
        <v>4085590.13</v>
      </c>
      <c r="L373" s="17">
        <f t="shared" si="77"/>
        <v>4085590.13</v>
      </c>
      <c r="M373" s="17">
        <f t="shared" si="77"/>
        <v>4085590.13</v>
      </c>
      <c r="N373" s="19">
        <f>SUM(B373:M373)</f>
        <v>49027081.56</v>
      </c>
      <c r="O373" s="66">
        <f>SUM(B371:M371)</f>
        <v>97537685.76</v>
      </c>
      <c r="P373" s="76">
        <f>SUM(B371:I371)</f>
        <v>65025123.83999999</v>
      </c>
      <c r="Q373" s="69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 t="e">
        <f>N374+#REF!</f>
        <v>#REF!</v>
      </c>
    </row>
    <row r="374" spans="1:34" s="28" customFormat="1" ht="12" customHeight="1">
      <c r="A374" s="3" t="s">
        <v>657</v>
      </c>
      <c r="B374" s="17">
        <f>363699.67+11185.68</f>
        <v>374885.35</v>
      </c>
      <c r="C374" s="17">
        <f aca="true" t="shared" si="78" ref="C374:M374">363699.67+11185.68</f>
        <v>374885.35</v>
      </c>
      <c r="D374" s="17">
        <f t="shared" si="78"/>
        <v>374885.35</v>
      </c>
      <c r="E374" s="17">
        <f t="shared" si="78"/>
        <v>374885.35</v>
      </c>
      <c r="F374" s="17">
        <f t="shared" si="78"/>
        <v>374885.35</v>
      </c>
      <c r="G374" s="17">
        <f t="shared" si="78"/>
        <v>374885.35</v>
      </c>
      <c r="H374" s="17">
        <f t="shared" si="78"/>
        <v>374885.35</v>
      </c>
      <c r="I374" s="17">
        <f t="shared" si="78"/>
        <v>374885.35</v>
      </c>
      <c r="J374" s="17">
        <f t="shared" si="78"/>
        <v>374885.35</v>
      </c>
      <c r="K374" s="17">
        <f t="shared" si="78"/>
        <v>374885.35</v>
      </c>
      <c r="L374" s="17">
        <f t="shared" si="78"/>
        <v>374885.35</v>
      </c>
      <c r="M374" s="17">
        <f t="shared" si="78"/>
        <v>374885.35</v>
      </c>
      <c r="N374" s="19">
        <f>SUM(B374:M374)</f>
        <v>4498624.2</v>
      </c>
      <c r="O374" s="66">
        <f>SUM(B372:M372)</f>
        <v>44011980</v>
      </c>
      <c r="P374" s="76">
        <f>SUM(B372:I372)</f>
        <v>29341320</v>
      </c>
      <c r="Q374" s="68"/>
      <c r="R374" s="117"/>
      <c r="S374" s="117">
        <f>SUM(N1035:N1038)</f>
        <v>18300000</v>
      </c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</row>
    <row r="375" spans="1:34" s="5" customFormat="1" ht="12" customHeight="1">
      <c r="A375" s="3"/>
      <c r="B375" s="136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6"/>
      <c r="P375" s="76"/>
      <c r="Q375" s="80"/>
      <c r="R375" s="114"/>
      <c r="S375" s="114">
        <f>SUM(B376:M376)</f>
        <v>443517966.73152</v>
      </c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4"/>
      <c r="AD375" s="114"/>
      <c r="AE375" s="114"/>
      <c r="AF375" s="114"/>
      <c r="AG375" s="114"/>
      <c r="AH375" s="114"/>
    </row>
    <row r="376" spans="1:35" s="6" customFormat="1" ht="12" customHeight="1">
      <c r="A376" s="96" t="s">
        <v>17</v>
      </c>
      <c r="B376" s="138">
        <f aca="true" t="shared" si="79" ref="B376:N376">B377+B421+B446+B508+B514+B539+B549+B589+B684</f>
        <v>35671012.404</v>
      </c>
      <c r="C376" s="138">
        <f t="shared" si="79"/>
        <v>35142014.074</v>
      </c>
      <c r="D376" s="138">
        <f t="shared" si="79"/>
        <v>35053414.074</v>
      </c>
      <c r="E376" s="138">
        <f t="shared" si="79"/>
        <v>39982414.074</v>
      </c>
      <c r="F376" s="138">
        <f t="shared" si="79"/>
        <v>45097766.574</v>
      </c>
      <c r="G376" s="138">
        <f t="shared" si="79"/>
        <v>34249847.4048</v>
      </c>
      <c r="H376" s="138">
        <f t="shared" si="79"/>
        <v>37045426.574</v>
      </c>
      <c r="I376" s="138">
        <f t="shared" si="79"/>
        <v>33993326.574</v>
      </c>
      <c r="J376" s="138">
        <f t="shared" si="79"/>
        <v>35835326.574</v>
      </c>
      <c r="K376" s="138">
        <f t="shared" si="79"/>
        <v>34503937.684</v>
      </c>
      <c r="L376" s="138">
        <f t="shared" si="79"/>
        <v>34934537.684</v>
      </c>
      <c r="M376" s="138">
        <f t="shared" si="79"/>
        <v>42008943.03672</v>
      </c>
      <c r="N376" s="138">
        <f t="shared" si="79"/>
        <v>443517966.73152006</v>
      </c>
      <c r="O376" s="65">
        <f>SUM(B376:M376)</f>
        <v>443517966.73152</v>
      </c>
      <c r="P376" s="76">
        <f>SUM(B376:I376)</f>
        <v>296235221.7528</v>
      </c>
      <c r="Q376" s="81">
        <f>N376/N39</f>
        <v>0.17840908175440698</v>
      </c>
      <c r="R376" s="115">
        <f>SUM(B376:M376)</f>
        <v>443517966.73152</v>
      </c>
      <c r="S376" s="115" t="e">
        <f>S378+S404+S409+S411+S416+#REF!+S594+S422+S432+S443+#REF!+S447+S489+S508+S514+S539+S549+S554+S575+S579+S588+S633+S683+S681+#REF!+#REF!+N694</f>
        <v>#REF!</v>
      </c>
      <c r="T376" s="115" t="e">
        <f>S376-N376</f>
        <v>#REF!</v>
      </c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  <c r="AG376" s="115"/>
      <c r="AH376" s="115">
        <f>SUM(B376:M376)</f>
        <v>443517966.73152</v>
      </c>
      <c r="AI376" s="65" t="e">
        <f>N376+#REF!</f>
        <v>#REF!</v>
      </c>
    </row>
    <row r="377" spans="1:34" s="6" customFormat="1" ht="12" customHeight="1">
      <c r="A377" s="301" t="s">
        <v>201</v>
      </c>
      <c r="B377" s="303">
        <f>B378+B401+B404+B410</f>
        <v>2908253.5</v>
      </c>
      <c r="C377" s="303">
        <f aca="true" t="shared" si="80" ref="C377:L377">C378+C401+C404+C410</f>
        <v>2933555.17</v>
      </c>
      <c r="D377" s="303">
        <f t="shared" si="80"/>
        <v>2933555.17</v>
      </c>
      <c r="E377" s="303">
        <f t="shared" si="80"/>
        <v>2933555.17</v>
      </c>
      <c r="F377" s="303">
        <f t="shared" si="80"/>
        <v>2933555.17</v>
      </c>
      <c r="G377" s="303">
        <f t="shared" si="80"/>
        <v>2933555.17</v>
      </c>
      <c r="H377" s="303">
        <f t="shared" si="80"/>
        <v>2933555.17</v>
      </c>
      <c r="I377" s="303">
        <f t="shared" si="80"/>
        <v>2933555.17</v>
      </c>
      <c r="J377" s="303">
        <f t="shared" si="80"/>
        <v>2933555.17</v>
      </c>
      <c r="K377" s="303">
        <f t="shared" si="80"/>
        <v>2933555.17</v>
      </c>
      <c r="L377" s="303">
        <f t="shared" si="80"/>
        <v>2933555.17</v>
      </c>
      <c r="M377" s="303">
        <f>M378+M401+M404+M410</f>
        <v>2933555.17</v>
      </c>
      <c r="N377" s="303">
        <f>N378+N401+N404+N410</f>
        <v>35177360.37</v>
      </c>
      <c r="O377" s="65">
        <f>SUM(B376:M376)</f>
        <v>443517966.73152</v>
      </c>
      <c r="P377" s="76">
        <f>SUM(B377:I377)</f>
        <v>23443139.690000005</v>
      </c>
      <c r="Q377" s="81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  <c r="AG377" s="115"/>
      <c r="AH377" s="115"/>
    </row>
    <row r="378" spans="1:34" s="6" customFormat="1" ht="12" customHeight="1">
      <c r="A378" s="15" t="s">
        <v>527</v>
      </c>
      <c r="B378" s="137">
        <f>B379</f>
        <v>1300000</v>
      </c>
      <c r="C378" s="137">
        <f>C379</f>
        <v>1300000</v>
      </c>
      <c r="D378" s="137">
        <f aca="true" t="shared" si="81" ref="D378:M378">D379</f>
        <v>1300000</v>
      </c>
      <c r="E378" s="137">
        <f t="shared" si="81"/>
        <v>1300000</v>
      </c>
      <c r="F378" s="137">
        <f t="shared" si="81"/>
        <v>1300000</v>
      </c>
      <c r="G378" s="137">
        <f t="shared" si="81"/>
        <v>1300000</v>
      </c>
      <c r="H378" s="137">
        <f t="shared" si="81"/>
        <v>1300000</v>
      </c>
      <c r="I378" s="137">
        <f t="shared" si="81"/>
        <v>1300000</v>
      </c>
      <c r="J378" s="137">
        <f t="shared" si="81"/>
        <v>1300000</v>
      </c>
      <c r="K378" s="137">
        <f t="shared" si="81"/>
        <v>1300000</v>
      </c>
      <c r="L378" s="137">
        <f t="shared" si="81"/>
        <v>1300000</v>
      </c>
      <c r="M378" s="137">
        <f t="shared" si="81"/>
        <v>1300000</v>
      </c>
      <c r="N378" s="16">
        <f>SUM(B378:M378)</f>
        <v>15600000</v>
      </c>
      <c r="O378" s="65">
        <f>SUM(B378:M378)</f>
        <v>15600000</v>
      </c>
      <c r="P378" s="65">
        <f>SUM(B378:I378)</f>
        <v>10400000</v>
      </c>
      <c r="Q378" s="81"/>
      <c r="R378" s="115">
        <f>'[1]Ejecución Indotel'!$BL$49</f>
        <v>607542.1689761626</v>
      </c>
      <c r="S378" s="115">
        <f>SUM(N380:N400)</f>
        <v>0</v>
      </c>
      <c r="T378" s="115">
        <f>S378+S409</f>
        <v>0</v>
      </c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  <c r="AG378" s="115"/>
      <c r="AH378" s="115"/>
    </row>
    <row r="379" spans="1:34" s="5" customFormat="1" ht="12" customHeight="1">
      <c r="A379" s="3" t="s">
        <v>262</v>
      </c>
      <c r="B379" s="136">
        <v>1300000</v>
      </c>
      <c r="C379" s="136">
        <v>1300000</v>
      </c>
      <c r="D379" s="136">
        <v>1300000</v>
      </c>
      <c r="E379" s="136">
        <v>1300000</v>
      </c>
      <c r="F379" s="136">
        <v>1300000</v>
      </c>
      <c r="G379" s="136">
        <v>1300000</v>
      </c>
      <c r="H379" s="136">
        <v>1300000</v>
      </c>
      <c r="I379" s="136">
        <v>1300000</v>
      </c>
      <c r="J379" s="136">
        <v>1300000</v>
      </c>
      <c r="K379" s="136">
        <v>1300000</v>
      </c>
      <c r="L379" s="136">
        <v>1300000</v>
      </c>
      <c r="M379" s="136">
        <v>1300000</v>
      </c>
      <c r="N379" s="4">
        <f>SUM(B379:M379)</f>
        <v>15600000</v>
      </c>
      <c r="O379" s="65">
        <f>SUM(B376:M376)</f>
        <v>443517966.73152</v>
      </c>
      <c r="P379" s="76">
        <f>O379-N376</f>
        <v>0</v>
      </c>
      <c r="Q379" s="80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  <c r="AC379" s="114"/>
      <c r="AD379" s="114"/>
      <c r="AE379" s="114"/>
      <c r="AF379" s="114"/>
      <c r="AG379" s="114"/>
      <c r="AH379" s="114"/>
    </row>
    <row r="380" spans="1:34" s="5" customFormat="1" ht="12" hidden="1">
      <c r="A380" s="3" t="s">
        <v>283</v>
      </c>
      <c r="B380" s="136"/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  <c r="M380" s="136"/>
      <c r="N380" s="4">
        <f aca="true" t="shared" si="82" ref="N380:N409">SUM(B380:M380)</f>
        <v>0</v>
      </c>
      <c r="O380" s="65"/>
      <c r="P380" s="76"/>
      <c r="Q380" s="80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  <c r="AC380" s="114"/>
      <c r="AD380" s="114"/>
      <c r="AE380" s="114"/>
      <c r="AF380" s="114"/>
      <c r="AG380" s="114"/>
      <c r="AH380" s="114"/>
    </row>
    <row r="381" spans="1:34" s="5" customFormat="1" ht="12" customHeight="1" hidden="1">
      <c r="A381" s="3" t="s">
        <v>282</v>
      </c>
      <c r="B381" s="136"/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  <c r="M381" s="136"/>
      <c r="N381" s="4">
        <f t="shared" si="82"/>
        <v>0</v>
      </c>
      <c r="O381" s="65"/>
      <c r="P381" s="76"/>
      <c r="Q381" s="80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  <c r="AC381" s="114"/>
      <c r="AD381" s="114"/>
      <c r="AE381" s="114"/>
      <c r="AF381" s="114"/>
      <c r="AG381" s="114"/>
      <c r="AH381" s="114"/>
    </row>
    <row r="382" spans="1:34" s="5" customFormat="1" ht="12" customHeight="1" hidden="1">
      <c r="A382" s="3" t="s">
        <v>281</v>
      </c>
      <c r="B382" s="136"/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4">
        <f t="shared" si="82"/>
        <v>0</v>
      </c>
      <c r="O382" s="65"/>
      <c r="P382" s="76"/>
      <c r="Q382" s="80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  <c r="AC382" s="114"/>
      <c r="AD382" s="114"/>
      <c r="AE382" s="114"/>
      <c r="AF382" s="114"/>
      <c r="AG382" s="114"/>
      <c r="AH382" s="114"/>
    </row>
    <row r="383" spans="1:34" s="5" customFormat="1" ht="12" customHeight="1" hidden="1">
      <c r="A383" s="3" t="s">
        <v>239</v>
      </c>
      <c r="B383" s="136"/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  <c r="M383" s="136"/>
      <c r="N383" s="4">
        <f t="shared" si="82"/>
        <v>0</v>
      </c>
      <c r="O383" s="65"/>
      <c r="P383" s="76"/>
      <c r="Q383" s="80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  <c r="AC383" s="114"/>
      <c r="AD383" s="114"/>
      <c r="AE383" s="114"/>
      <c r="AF383" s="114"/>
      <c r="AG383" s="114"/>
      <c r="AH383" s="114"/>
    </row>
    <row r="384" spans="1:34" s="5" customFormat="1" ht="12" customHeight="1" hidden="1">
      <c r="A384" s="3" t="s">
        <v>240</v>
      </c>
      <c r="B384" s="136"/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  <c r="M384" s="136"/>
      <c r="N384" s="4">
        <f t="shared" si="82"/>
        <v>0</v>
      </c>
      <c r="O384" s="65"/>
      <c r="P384" s="76"/>
      <c r="Q384" s="80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  <c r="AC384" s="114"/>
      <c r="AD384" s="114"/>
      <c r="AE384" s="114"/>
      <c r="AF384" s="114"/>
      <c r="AG384" s="114"/>
      <c r="AH384" s="114"/>
    </row>
    <row r="385" spans="1:34" s="5" customFormat="1" ht="12" hidden="1">
      <c r="A385" s="3" t="s">
        <v>241</v>
      </c>
      <c r="B385" s="136"/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  <c r="M385" s="136"/>
      <c r="N385" s="4">
        <f t="shared" si="82"/>
        <v>0</v>
      </c>
      <c r="O385" s="65"/>
      <c r="P385" s="76"/>
      <c r="Q385" s="80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  <c r="AC385" s="114"/>
      <c r="AD385" s="114"/>
      <c r="AE385" s="114"/>
      <c r="AF385" s="114"/>
      <c r="AG385" s="114"/>
      <c r="AH385" s="114"/>
    </row>
    <row r="386" spans="1:34" s="5" customFormat="1" ht="12" customHeight="1" hidden="1">
      <c r="A386" s="3" t="s">
        <v>242</v>
      </c>
      <c r="B386" s="136"/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  <c r="M386" s="136"/>
      <c r="N386" s="4">
        <f t="shared" si="82"/>
        <v>0</v>
      </c>
      <c r="O386" s="65"/>
      <c r="P386" s="76"/>
      <c r="Q386" s="80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  <c r="AC386" s="114"/>
      <c r="AD386" s="114"/>
      <c r="AE386" s="114"/>
      <c r="AF386" s="114"/>
      <c r="AG386" s="114"/>
      <c r="AH386" s="114"/>
    </row>
    <row r="387" spans="1:34" s="5" customFormat="1" ht="12" customHeight="1" hidden="1">
      <c r="A387" s="3" t="s">
        <v>243</v>
      </c>
      <c r="B387" s="136"/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  <c r="M387" s="136"/>
      <c r="N387" s="4">
        <f t="shared" si="82"/>
        <v>0</v>
      </c>
      <c r="O387" s="65"/>
      <c r="P387" s="76"/>
      <c r="Q387" s="80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  <c r="AC387" s="114"/>
      <c r="AD387" s="114"/>
      <c r="AE387" s="114"/>
      <c r="AF387" s="114"/>
      <c r="AG387" s="114"/>
      <c r="AH387" s="114"/>
    </row>
    <row r="388" spans="1:34" s="5" customFormat="1" ht="12" customHeight="1" hidden="1">
      <c r="A388" s="3" t="s">
        <v>244</v>
      </c>
      <c r="B388" s="136"/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  <c r="M388" s="136"/>
      <c r="N388" s="4">
        <f t="shared" si="82"/>
        <v>0</v>
      </c>
      <c r="O388" s="65"/>
      <c r="P388" s="76"/>
      <c r="Q388" s="80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  <c r="AC388" s="114"/>
      <c r="AD388" s="114"/>
      <c r="AE388" s="114"/>
      <c r="AF388" s="114"/>
      <c r="AG388" s="114"/>
      <c r="AH388" s="114"/>
    </row>
    <row r="389" spans="1:34" s="5" customFormat="1" ht="12" customHeight="1" hidden="1">
      <c r="A389" s="3" t="s">
        <v>245</v>
      </c>
      <c r="B389" s="136"/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  <c r="M389" s="136"/>
      <c r="N389" s="4">
        <f t="shared" si="82"/>
        <v>0</v>
      </c>
      <c r="O389" s="65"/>
      <c r="P389" s="76"/>
      <c r="Q389" s="80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  <c r="AC389" s="114"/>
      <c r="AD389" s="114"/>
      <c r="AE389" s="114"/>
      <c r="AF389" s="114"/>
      <c r="AG389" s="114"/>
      <c r="AH389" s="114"/>
    </row>
    <row r="390" spans="1:34" s="5" customFormat="1" ht="12" customHeight="1" hidden="1">
      <c r="A390" s="3" t="s">
        <v>280</v>
      </c>
      <c r="B390" s="136"/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  <c r="M390" s="136"/>
      <c r="N390" s="4">
        <f t="shared" si="82"/>
        <v>0</v>
      </c>
      <c r="O390" s="65"/>
      <c r="P390" s="76"/>
      <c r="Q390" s="80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  <c r="AC390" s="114"/>
      <c r="AD390" s="114"/>
      <c r="AE390" s="114"/>
      <c r="AF390" s="114"/>
      <c r="AG390" s="114"/>
      <c r="AH390" s="114"/>
    </row>
    <row r="391" spans="1:34" s="5" customFormat="1" ht="12" customHeight="1" hidden="1">
      <c r="A391" s="3" t="s">
        <v>247</v>
      </c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4">
        <f t="shared" si="82"/>
        <v>0</v>
      </c>
      <c r="O391" s="65"/>
      <c r="P391" s="76"/>
      <c r="Q391" s="80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  <c r="AC391" s="114"/>
      <c r="AD391" s="114"/>
      <c r="AE391" s="114"/>
      <c r="AF391" s="114"/>
      <c r="AG391" s="114"/>
      <c r="AH391" s="114"/>
    </row>
    <row r="392" spans="1:34" s="5" customFormat="1" ht="12" customHeight="1" hidden="1">
      <c r="A392" s="3" t="s">
        <v>248</v>
      </c>
      <c r="B392" s="136"/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  <c r="M392" s="136"/>
      <c r="N392" s="4">
        <f t="shared" si="82"/>
        <v>0</v>
      </c>
      <c r="O392" s="65"/>
      <c r="P392" s="76"/>
      <c r="Q392" s="80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  <c r="AC392" s="114"/>
      <c r="AD392" s="114"/>
      <c r="AE392" s="114"/>
      <c r="AF392" s="114"/>
      <c r="AG392" s="114"/>
      <c r="AH392" s="114"/>
    </row>
    <row r="393" spans="1:34" s="5" customFormat="1" ht="12" hidden="1">
      <c r="A393" s="3" t="s">
        <v>296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4">
        <f t="shared" si="82"/>
        <v>0</v>
      </c>
      <c r="O393" s="65"/>
      <c r="P393" s="76"/>
      <c r="Q393" s="80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  <c r="AC393" s="114"/>
      <c r="AD393" s="114"/>
      <c r="AE393" s="114"/>
      <c r="AF393" s="114"/>
      <c r="AG393" s="114"/>
      <c r="AH393" s="114"/>
    </row>
    <row r="394" spans="1:34" s="5" customFormat="1" ht="12" customHeight="1" hidden="1">
      <c r="A394" s="3" t="s">
        <v>249</v>
      </c>
      <c r="B394" s="136"/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  <c r="M394" s="136"/>
      <c r="N394" s="4">
        <f t="shared" si="82"/>
        <v>0</v>
      </c>
      <c r="O394" s="65"/>
      <c r="P394" s="76"/>
      <c r="Q394" s="80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  <c r="AC394" s="114"/>
      <c r="AD394" s="114"/>
      <c r="AE394" s="114"/>
      <c r="AF394" s="114"/>
      <c r="AG394" s="114"/>
      <c r="AH394" s="114"/>
    </row>
    <row r="395" spans="1:34" s="5" customFormat="1" ht="12" customHeight="1" hidden="1">
      <c r="A395" s="3" t="s">
        <v>250</v>
      </c>
      <c r="B395" s="136"/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4">
        <f t="shared" si="82"/>
        <v>0</v>
      </c>
      <c r="O395" s="65"/>
      <c r="P395" s="76"/>
      <c r="Q395" s="80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  <c r="AC395" s="114"/>
      <c r="AD395" s="114"/>
      <c r="AE395" s="114"/>
      <c r="AF395" s="114"/>
      <c r="AG395" s="114"/>
      <c r="AH395" s="114"/>
    </row>
    <row r="396" spans="1:34" s="5" customFormat="1" ht="12" customHeight="1" hidden="1">
      <c r="A396" s="3" t="s">
        <v>251</v>
      </c>
      <c r="B396" s="136"/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  <c r="M396" s="136"/>
      <c r="N396" s="4">
        <f t="shared" si="82"/>
        <v>0</v>
      </c>
      <c r="O396" s="65"/>
      <c r="P396" s="76"/>
      <c r="Q396" s="80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  <c r="AC396" s="114"/>
      <c r="AD396" s="114"/>
      <c r="AE396" s="114"/>
      <c r="AF396" s="114"/>
      <c r="AG396" s="114"/>
      <c r="AH396" s="114"/>
    </row>
    <row r="397" spans="1:34" s="5" customFormat="1" ht="12" customHeight="1" hidden="1">
      <c r="A397" s="3" t="s">
        <v>284</v>
      </c>
      <c r="B397" s="136"/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  <c r="M397" s="136"/>
      <c r="N397" s="4">
        <f t="shared" si="82"/>
        <v>0</v>
      </c>
      <c r="O397" s="65"/>
      <c r="P397" s="76"/>
      <c r="Q397" s="80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</row>
    <row r="398" spans="1:34" s="5" customFormat="1" ht="12" customHeight="1" hidden="1">
      <c r="A398" s="3" t="s">
        <v>297</v>
      </c>
      <c r="B398" s="136"/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  <c r="M398" s="136"/>
      <c r="N398" s="4">
        <f t="shared" si="82"/>
        <v>0</v>
      </c>
      <c r="O398" s="65"/>
      <c r="P398" s="76"/>
      <c r="Q398" s="80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</row>
    <row r="399" spans="1:34" s="5" customFormat="1" ht="12" customHeight="1" hidden="1">
      <c r="A399" s="3" t="s">
        <v>300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  <c r="M399" s="136"/>
      <c r="N399" s="4">
        <f t="shared" si="82"/>
        <v>0</v>
      </c>
      <c r="O399" s="65"/>
      <c r="P399" s="76"/>
      <c r="Q399" s="80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</row>
    <row r="400" spans="1:34" s="5" customFormat="1" ht="12" customHeight="1" hidden="1">
      <c r="A400" s="3" t="s">
        <v>311</v>
      </c>
      <c r="B400" s="136"/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  <c r="M400" s="136"/>
      <c r="N400" s="4">
        <f t="shared" si="82"/>
        <v>0</v>
      </c>
      <c r="O400" s="65"/>
      <c r="P400" s="76"/>
      <c r="Q400" s="80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  <c r="AC400" s="114"/>
      <c r="AD400" s="114"/>
      <c r="AE400" s="114"/>
      <c r="AF400" s="114"/>
      <c r="AG400" s="114"/>
      <c r="AH400" s="114"/>
    </row>
    <row r="401" spans="1:34" s="6" customFormat="1" ht="12" customHeight="1">
      <c r="A401" s="15" t="s">
        <v>526</v>
      </c>
      <c r="B401" s="137">
        <f>B402+B403</f>
        <v>125000</v>
      </c>
      <c r="C401" s="137">
        <f aca="true" t="shared" si="83" ref="C401:M401">C402+C403</f>
        <v>125000</v>
      </c>
      <c r="D401" s="137">
        <f t="shared" si="83"/>
        <v>125000</v>
      </c>
      <c r="E401" s="137">
        <f t="shared" si="83"/>
        <v>125000</v>
      </c>
      <c r="F401" s="137">
        <f t="shared" si="83"/>
        <v>125000</v>
      </c>
      <c r="G401" s="137">
        <f t="shared" si="83"/>
        <v>125000</v>
      </c>
      <c r="H401" s="137">
        <f t="shared" si="83"/>
        <v>125000</v>
      </c>
      <c r="I401" s="137">
        <f t="shared" si="83"/>
        <v>125000</v>
      </c>
      <c r="J401" s="137">
        <f t="shared" si="83"/>
        <v>125000</v>
      </c>
      <c r="K401" s="137">
        <f t="shared" si="83"/>
        <v>125000</v>
      </c>
      <c r="L401" s="137">
        <f t="shared" si="83"/>
        <v>125000</v>
      </c>
      <c r="M401" s="137">
        <f t="shared" si="83"/>
        <v>125000</v>
      </c>
      <c r="N401" s="16">
        <f>SUM(N402:N403)</f>
        <v>1500000</v>
      </c>
      <c r="O401" s="65">
        <f>SUM(B401:M401)</f>
        <v>1500000</v>
      </c>
      <c r="P401" s="65"/>
      <c r="Q401" s="81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</row>
    <row r="402" spans="1:34" s="5" customFormat="1" ht="12" customHeight="1">
      <c r="A402" s="3" t="s">
        <v>528</v>
      </c>
      <c r="B402" s="136">
        <v>125000</v>
      </c>
      <c r="C402" s="136">
        <v>125000</v>
      </c>
      <c r="D402" s="136">
        <v>125000</v>
      </c>
      <c r="E402" s="136">
        <v>125000</v>
      </c>
      <c r="F402" s="136">
        <v>125000</v>
      </c>
      <c r="G402" s="136">
        <v>125000</v>
      </c>
      <c r="H402" s="136">
        <v>125000</v>
      </c>
      <c r="I402" s="136">
        <v>125000</v>
      </c>
      <c r="J402" s="136">
        <v>125000</v>
      </c>
      <c r="K402" s="136">
        <v>125000</v>
      </c>
      <c r="L402" s="136">
        <v>125000</v>
      </c>
      <c r="M402" s="136">
        <v>125000</v>
      </c>
      <c r="N402" s="4">
        <f t="shared" si="82"/>
        <v>1500000</v>
      </c>
      <c r="O402" s="65"/>
      <c r="P402" s="76"/>
      <c r="Q402" s="80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  <c r="AC402" s="114"/>
      <c r="AD402" s="114"/>
      <c r="AE402" s="114"/>
      <c r="AF402" s="114"/>
      <c r="AG402" s="114"/>
      <c r="AH402" s="114"/>
    </row>
    <row r="403" spans="1:34" s="5" customFormat="1" ht="12" customHeight="1">
      <c r="A403" s="3" t="s">
        <v>529</v>
      </c>
      <c r="B403" s="136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4">
        <f t="shared" si="82"/>
        <v>0</v>
      </c>
      <c r="O403" s="65"/>
      <c r="P403" s="76"/>
      <c r="Q403" s="80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  <c r="AC403" s="114"/>
      <c r="AD403" s="114"/>
      <c r="AE403" s="114"/>
      <c r="AF403" s="114"/>
      <c r="AG403" s="114"/>
      <c r="AH403" s="114"/>
    </row>
    <row r="404" spans="1:34" s="6" customFormat="1" ht="12" customHeight="1">
      <c r="A404" s="15" t="s">
        <v>360</v>
      </c>
      <c r="B404" s="137">
        <f>B405+B408</f>
        <v>368473.5</v>
      </c>
      <c r="C404" s="137">
        <f>C405+C408</f>
        <v>393775.17</v>
      </c>
      <c r="D404" s="137">
        <f aca="true" t="shared" si="84" ref="D404:L404">D405+D408</f>
        <v>393775.17</v>
      </c>
      <c r="E404" s="137">
        <f t="shared" si="84"/>
        <v>393775.17</v>
      </c>
      <c r="F404" s="137">
        <f t="shared" si="84"/>
        <v>393775.17</v>
      </c>
      <c r="G404" s="137">
        <f t="shared" si="84"/>
        <v>393775.17</v>
      </c>
      <c r="H404" s="137">
        <f t="shared" si="84"/>
        <v>393775.17</v>
      </c>
      <c r="I404" s="137">
        <f t="shared" si="84"/>
        <v>393775.17</v>
      </c>
      <c r="J404" s="137">
        <f t="shared" si="84"/>
        <v>393775.17</v>
      </c>
      <c r="K404" s="137">
        <f t="shared" si="84"/>
        <v>393775.17</v>
      </c>
      <c r="L404" s="137">
        <f t="shared" si="84"/>
        <v>393775.17</v>
      </c>
      <c r="M404" s="137">
        <f>M405+M408</f>
        <v>393775.17</v>
      </c>
      <c r="N404" s="16">
        <f>SUM(B404:M404)</f>
        <v>4700000.369999999</v>
      </c>
      <c r="O404" s="65">
        <f>SUM(N405:N408)</f>
        <v>4700000.369999999</v>
      </c>
      <c r="P404" s="65"/>
      <c r="Q404" s="81"/>
      <c r="R404" s="115"/>
      <c r="S404" s="115">
        <f>N406+N407+N408</f>
        <v>91302</v>
      </c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  <c r="AG404" s="115"/>
      <c r="AH404" s="115"/>
    </row>
    <row r="405" spans="1:34" s="5" customFormat="1" ht="12" customHeight="1">
      <c r="A405" s="3" t="s">
        <v>361</v>
      </c>
      <c r="B405" s="136">
        <v>360865</v>
      </c>
      <c r="C405" s="136">
        <f>360865+25301.67</f>
        <v>386166.67</v>
      </c>
      <c r="D405" s="136">
        <f aca="true" t="shared" si="85" ref="D405:M405">360865+25301.67</f>
        <v>386166.67</v>
      </c>
      <c r="E405" s="136">
        <f t="shared" si="85"/>
        <v>386166.67</v>
      </c>
      <c r="F405" s="136">
        <f t="shared" si="85"/>
        <v>386166.67</v>
      </c>
      <c r="G405" s="136">
        <f t="shared" si="85"/>
        <v>386166.67</v>
      </c>
      <c r="H405" s="136">
        <f t="shared" si="85"/>
        <v>386166.67</v>
      </c>
      <c r="I405" s="136">
        <f t="shared" si="85"/>
        <v>386166.67</v>
      </c>
      <c r="J405" s="136">
        <f t="shared" si="85"/>
        <v>386166.67</v>
      </c>
      <c r="K405" s="136">
        <f t="shared" si="85"/>
        <v>386166.67</v>
      </c>
      <c r="L405" s="136">
        <f t="shared" si="85"/>
        <v>386166.67</v>
      </c>
      <c r="M405" s="136">
        <f t="shared" si="85"/>
        <v>386166.67</v>
      </c>
      <c r="N405" s="4">
        <f t="shared" si="82"/>
        <v>4608698.369999999</v>
      </c>
      <c r="O405" s="65"/>
      <c r="P405" s="76"/>
      <c r="Q405" s="80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  <c r="AC405" s="114"/>
      <c r="AD405" s="114"/>
      <c r="AE405" s="114"/>
      <c r="AF405" s="114"/>
      <c r="AG405" s="114"/>
      <c r="AH405" s="114"/>
    </row>
    <row r="406" spans="1:34" s="5" customFormat="1" ht="12" customHeight="1" hidden="1">
      <c r="A406" s="3" t="s">
        <v>417</v>
      </c>
      <c r="B406" s="136"/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  <c r="M406" s="136"/>
      <c r="N406" s="4">
        <f t="shared" si="82"/>
        <v>0</v>
      </c>
      <c r="O406" s="65"/>
      <c r="P406" s="76"/>
      <c r="Q406" s="80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4"/>
      <c r="AF406" s="114"/>
      <c r="AG406" s="114"/>
      <c r="AH406" s="114"/>
    </row>
    <row r="407" spans="1:34" s="5" customFormat="1" ht="12" customHeight="1" hidden="1">
      <c r="A407" s="3" t="s">
        <v>418</v>
      </c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4">
        <f t="shared" si="82"/>
        <v>0</v>
      </c>
      <c r="O407" s="65"/>
      <c r="P407" s="76"/>
      <c r="Q407" s="80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4"/>
      <c r="AF407" s="114"/>
      <c r="AG407" s="114"/>
      <c r="AH407" s="114"/>
    </row>
    <row r="408" spans="1:34" s="5" customFormat="1" ht="12" customHeight="1">
      <c r="A408" s="3" t="s">
        <v>362</v>
      </c>
      <c r="B408" s="136">
        <f>5500+2108.5</f>
        <v>7608.5</v>
      </c>
      <c r="C408" s="136">
        <f>5500+2108.5</f>
        <v>7608.5</v>
      </c>
      <c r="D408" s="136">
        <f aca="true" t="shared" si="86" ref="D408:M408">5500+2108.5</f>
        <v>7608.5</v>
      </c>
      <c r="E408" s="136">
        <f t="shared" si="86"/>
        <v>7608.5</v>
      </c>
      <c r="F408" s="136">
        <f t="shared" si="86"/>
        <v>7608.5</v>
      </c>
      <c r="G408" s="136">
        <f t="shared" si="86"/>
        <v>7608.5</v>
      </c>
      <c r="H408" s="136">
        <f t="shared" si="86"/>
        <v>7608.5</v>
      </c>
      <c r="I408" s="136">
        <f t="shared" si="86"/>
        <v>7608.5</v>
      </c>
      <c r="J408" s="136">
        <f t="shared" si="86"/>
        <v>7608.5</v>
      </c>
      <c r="K408" s="136">
        <f t="shared" si="86"/>
        <v>7608.5</v>
      </c>
      <c r="L408" s="136">
        <f t="shared" si="86"/>
        <v>7608.5</v>
      </c>
      <c r="M408" s="136">
        <f t="shared" si="86"/>
        <v>7608.5</v>
      </c>
      <c r="N408" s="4">
        <f t="shared" si="82"/>
        <v>91302</v>
      </c>
      <c r="O408" s="65"/>
      <c r="P408" s="76"/>
      <c r="Q408" s="80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  <c r="AC408" s="114"/>
      <c r="AD408" s="114"/>
      <c r="AE408" s="114"/>
      <c r="AF408" s="114"/>
      <c r="AG408" s="114"/>
      <c r="AH408" s="114"/>
    </row>
    <row r="409" spans="1:34" s="6" customFormat="1" ht="12" customHeight="1">
      <c r="A409" s="15" t="s">
        <v>99</v>
      </c>
      <c r="B409" s="137"/>
      <c r="C409" s="137"/>
      <c r="D409" s="137"/>
      <c r="E409" s="137"/>
      <c r="F409" s="137"/>
      <c r="G409" s="137"/>
      <c r="H409" s="137"/>
      <c r="I409" s="137"/>
      <c r="J409" s="137"/>
      <c r="K409" s="137"/>
      <c r="L409" s="137"/>
      <c r="M409" s="137"/>
      <c r="N409" s="16">
        <f t="shared" si="82"/>
        <v>0</v>
      </c>
      <c r="O409" s="65">
        <f>SUM(B409:M409)</f>
        <v>0</v>
      </c>
      <c r="P409" s="65">
        <f>SUM(B409:I409)</f>
        <v>0</v>
      </c>
      <c r="Q409" s="81"/>
      <c r="R409" s="115">
        <f>'[1]Ejecución Indotel'!$BL$50</f>
        <v>11000</v>
      </c>
      <c r="S409" s="115">
        <f>N409</f>
        <v>0</v>
      </c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  <c r="AG409" s="115"/>
      <c r="AH409" s="115"/>
    </row>
    <row r="410" spans="1:34" s="6" customFormat="1" ht="12" customHeight="1">
      <c r="A410" s="15" t="s">
        <v>143</v>
      </c>
      <c r="B410" s="137">
        <f>B411+B416</f>
        <v>1114780</v>
      </c>
      <c r="C410" s="137">
        <f aca="true" t="shared" si="87" ref="C410:N410">C411+C416</f>
        <v>1114780</v>
      </c>
      <c r="D410" s="137">
        <f t="shared" si="87"/>
        <v>1114780</v>
      </c>
      <c r="E410" s="137">
        <f t="shared" si="87"/>
        <v>1114780</v>
      </c>
      <c r="F410" s="137">
        <f t="shared" si="87"/>
        <v>1114780</v>
      </c>
      <c r="G410" s="137">
        <f t="shared" si="87"/>
        <v>1114780</v>
      </c>
      <c r="H410" s="137">
        <f t="shared" si="87"/>
        <v>1114780</v>
      </c>
      <c r="I410" s="137">
        <f t="shared" si="87"/>
        <v>1114780</v>
      </c>
      <c r="J410" s="137">
        <f t="shared" si="87"/>
        <v>1114780</v>
      </c>
      <c r="K410" s="137">
        <f t="shared" si="87"/>
        <v>1114780</v>
      </c>
      <c r="L410" s="137">
        <f t="shared" si="87"/>
        <v>1114780</v>
      </c>
      <c r="M410" s="137">
        <f t="shared" si="87"/>
        <v>1114780</v>
      </c>
      <c r="N410" s="16">
        <f t="shared" si="87"/>
        <v>13377360</v>
      </c>
      <c r="O410" s="65">
        <f>SUM(B410:M410)</f>
        <v>13377360</v>
      </c>
      <c r="P410" s="76">
        <f>SUM(B410:I410)</f>
        <v>8918240</v>
      </c>
      <c r="Q410" s="81"/>
      <c r="R410" s="115"/>
      <c r="T410" s="115">
        <f>S411-N411</f>
        <v>0</v>
      </c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  <c r="AG410" s="115"/>
      <c r="AH410" s="115"/>
    </row>
    <row r="411" spans="1:34" s="6" customFormat="1" ht="12" customHeight="1">
      <c r="A411" s="15" t="s">
        <v>100</v>
      </c>
      <c r="B411" s="137">
        <f>SUM(B412:B415)</f>
        <v>1105980</v>
      </c>
      <c r="C411" s="137">
        <f aca="true" t="shared" si="88" ref="C411:N411">SUM(C412:C415)</f>
        <v>1105980</v>
      </c>
      <c r="D411" s="137">
        <f t="shared" si="88"/>
        <v>1105980</v>
      </c>
      <c r="E411" s="137">
        <f t="shared" si="88"/>
        <v>1105980</v>
      </c>
      <c r="F411" s="137">
        <f t="shared" si="88"/>
        <v>1105980</v>
      </c>
      <c r="G411" s="137">
        <f t="shared" si="88"/>
        <v>1105980</v>
      </c>
      <c r="H411" s="137">
        <f t="shared" si="88"/>
        <v>1105980</v>
      </c>
      <c r="I411" s="137">
        <f t="shared" si="88"/>
        <v>1105980</v>
      </c>
      <c r="J411" s="137">
        <f t="shared" si="88"/>
        <v>1105980</v>
      </c>
      <c r="K411" s="137">
        <f t="shared" si="88"/>
        <v>1105980</v>
      </c>
      <c r="L411" s="137">
        <f t="shared" si="88"/>
        <v>1105980</v>
      </c>
      <c r="M411" s="137">
        <f t="shared" si="88"/>
        <v>1105980</v>
      </c>
      <c r="N411" s="16">
        <f t="shared" si="88"/>
        <v>13271760</v>
      </c>
      <c r="O411" s="65">
        <f>SUM(B411:M411)</f>
        <v>13271760</v>
      </c>
      <c r="P411" s="65">
        <f>SUM(B411:I411)</f>
        <v>8847840</v>
      </c>
      <c r="Q411" s="81"/>
      <c r="R411" s="115">
        <f>'[1]Ejecución Indotel'!$BL$52</f>
        <v>225513.96769903015</v>
      </c>
      <c r="S411" s="115">
        <f>SUM(N412:N415)</f>
        <v>13271760</v>
      </c>
      <c r="T411" s="115" t="e">
        <f>S411+S416+#REF!+S594</f>
        <v>#REF!</v>
      </c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  <c r="AG411" s="115"/>
      <c r="AH411" s="115"/>
    </row>
    <row r="412" spans="1:34" s="5" customFormat="1" ht="12" hidden="1">
      <c r="A412" s="3" t="s">
        <v>216</v>
      </c>
      <c r="B412" s="136">
        <v>460000</v>
      </c>
      <c r="C412" s="136">
        <v>460000</v>
      </c>
      <c r="D412" s="136">
        <v>460000</v>
      </c>
      <c r="E412" s="136">
        <v>460000</v>
      </c>
      <c r="F412" s="136">
        <v>460000</v>
      </c>
      <c r="G412" s="136">
        <v>460000</v>
      </c>
      <c r="H412" s="136">
        <v>460000</v>
      </c>
      <c r="I412" s="136">
        <v>460000</v>
      </c>
      <c r="J412" s="136">
        <v>460000</v>
      </c>
      <c r="K412" s="136">
        <v>460000</v>
      </c>
      <c r="L412" s="136">
        <v>460000</v>
      </c>
      <c r="M412" s="136">
        <v>460000</v>
      </c>
      <c r="N412" s="4">
        <f>SUM(B412:M412)</f>
        <v>5520000</v>
      </c>
      <c r="O412" s="65">
        <f>SUM(N412:N415)</f>
        <v>13271760</v>
      </c>
      <c r="P412" s="76"/>
      <c r="Q412" s="80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  <c r="AC412" s="114"/>
      <c r="AD412" s="114"/>
      <c r="AE412" s="114"/>
      <c r="AF412" s="114"/>
      <c r="AG412" s="114"/>
      <c r="AH412" s="114">
        <f>SUM(N412:N415)</f>
        <v>13271760</v>
      </c>
    </row>
    <row r="413" spans="1:34" s="5" customFormat="1" ht="12" customHeight="1" hidden="1">
      <c r="A413" s="3" t="s">
        <v>591</v>
      </c>
      <c r="B413" s="136">
        <v>605550</v>
      </c>
      <c r="C413" s="136">
        <v>605550</v>
      </c>
      <c r="D413" s="136">
        <v>605550</v>
      </c>
      <c r="E413" s="136">
        <v>605550</v>
      </c>
      <c r="F413" s="136">
        <v>605550</v>
      </c>
      <c r="G413" s="136">
        <v>605550</v>
      </c>
      <c r="H413" s="136">
        <v>605550</v>
      </c>
      <c r="I413" s="136">
        <v>605550</v>
      </c>
      <c r="J413" s="136">
        <v>605550</v>
      </c>
      <c r="K413" s="136">
        <v>605550</v>
      </c>
      <c r="L413" s="136">
        <v>605550</v>
      </c>
      <c r="M413" s="136">
        <v>605550</v>
      </c>
      <c r="N413" s="4">
        <f aca="true" t="shared" si="89" ref="N413:N420">SUM(B413:M413)</f>
        <v>7266600</v>
      </c>
      <c r="O413" s="65"/>
      <c r="P413" s="76"/>
      <c r="Q413" s="80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  <c r="AC413" s="114"/>
      <c r="AD413" s="114"/>
      <c r="AE413" s="114"/>
      <c r="AF413" s="114"/>
      <c r="AG413" s="114"/>
      <c r="AH413" s="114"/>
    </row>
    <row r="414" spans="1:34" s="5" customFormat="1" ht="12" customHeight="1" hidden="1">
      <c r="A414" s="3" t="s">
        <v>592</v>
      </c>
      <c r="B414" s="136">
        <v>14300</v>
      </c>
      <c r="C414" s="136">
        <v>14300</v>
      </c>
      <c r="D414" s="136">
        <v>14300</v>
      </c>
      <c r="E414" s="136">
        <v>14300</v>
      </c>
      <c r="F414" s="136">
        <v>14300</v>
      </c>
      <c r="G414" s="136">
        <v>14300</v>
      </c>
      <c r="H414" s="136">
        <v>14300</v>
      </c>
      <c r="I414" s="136">
        <v>14300</v>
      </c>
      <c r="J414" s="136">
        <v>14300</v>
      </c>
      <c r="K414" s="136">
        <v>14300</v>
      </c>
      <c r="L414" s="136">
        <v>14300</v>
      </c>
      <c r="M414" s="136">
        <v>14300</v>
      </c>
      <c r="N414" s="4">
        <f t="shared" si="89"/>
        <v>171600</v>
      </c>
      <c r="O414" s="65"/>
      <c r="P414" s="76"/>
      <c r="Q414" s="80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  <c r="AC414" s="114"/>
      <c r="AD414" s="114"/>
      <c r="AE414" s="114"/>
      <c r="AF414" s="114"/>
      <c r="AG414" s="114"/>
      <c r="AH414" s="114"/>
    </row>
    <row r="415" spans="1:34" s="5" customFormat="1" ht="12" customHeight="1" hidden="1">
      <c r="A415" s="3" t="s">
        <v>593</v>
      </c>
      <c r="B415" s="136">
        <v>26130</v>
      </c>
      <c r="C415" s="136">
        <v>26130</v>
      </c>
      <c r="D415" s="136">
        <v>26130</v>
      </c>
      <c r="E415" s="136">
        <v>26130</v>
      </c>
      <c r="F415" s="136">
        <v>26130</v>
      </c>
      <c r="G415" s="136">
        <v>26130</v>
      </c>
      <c r="H415" s="136">
        <v>26130</v>
      </c>
      <c r="I415" s="136">
        <v>26130</v>
      </c>
      <c r="J415" s="136">
        <v>26130</v>
      </c>
      <c r="K415" s="136">
        <v>26130</v>
      </c>
      <c r="L415" s="136">
        <v>26130</v>
      </c>
      <c r="M415" s="136">
        <v>26130</v>
      </c>
      <c r="N415" s="4">
        <f t="shared" si="89"/>
        <v>313560</v>
      </c>
      <c r="O415" s="65"/>
      <c r="P415" s="76"/>
      <c r="Q415" s="80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  <c r="AC415" s="114"/>
      <c r="AD415" s="114"/>
      <c r="AE415" s="114"/>
      <c r="AF415" s="114"/>
      <c r="AG415" s="114"/>
      <c r="AH415" s="114"/>
    </row>
    <row r="416" spans="1:34" s="6" customFormat="1" ht="12" customHeight="1">
      <c r="A416" s="15" t="s">
        <v>101</v>
      </c>
      <c r="B416" s="137">
        <f>SUM(B417:B420)</f>
        <v>8800</v>
      </c>
      <c r="C416" s="137">
        <f aca="true" t="shared" si="90" ref="C416:M416">SUM(C417:C420)</f>
        <v>8800</v>
      </c>
      <c r="D416" s="137">
        <f t="shared" si="90"/>
        <v>8800</v>
      </c>
      <c r="E416" s="137">
        <f t="shared" si="90"/>
        <v>8800</v>
      </c>
      <c r="F416" s="137">
        <f t="shared" si="90"/>
        <v>8800</v>
      </c>
      <c r="G416" s="137">
        <f t="shared" si="90"/>
        <v>8800</v>
      </c>
      <c r="H416" s="137">
        <f t="shared" si="90"/>
        <v>8800</v>
      </c>
      <c r="I416" s="137">
        <f t="shared" si="90"/>
        <v>8800</v>
      </c>
      <c r="J416" s="137">
        <f t="shared" si="90"/>
        <v>8800</v>
      </c>
      <c r="K416" s="137">
        <f t="shared" si="90"/>
        <v>8800</v>
      </c>
      <c r="L416" s="137">
        <f t="shared" si="90"/>
        <v>8800</v>
      </c>
      <c r="M416" s="137">
        <f t="shared" si="90"/>
        <v>8800</v>
      </c>
      <c r="N416" s="16">
        <f>SUM(N417:N420)</f>
        <v>105600</v>
      </c>
      <c r="O416" s="65">
        <f>SUM(B416:M416)</f>
        <v>105600</v>
      </c>
      <c r="P416" s="65">
        <f>SUM(B416:I416)</f>
        <v>70400</v>
      </c>
      <c r="Q416" s="81"/>
      <c r="R416" s="115">
        <f>'[1]Ejecución Indotel'!$BL$53</f>
        <v>1000</v>
      </c>
      <c r="S416" s="115">
        <f>SUM(N417:N419)</f>
        <v>79200</v>
      </c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  <c r="AG416" s="115"/>
      <c r="AH416" s="115"/>
    </row>
    <row r="417" spans="1:34" s="5" customFormat="1" ht="12">
      <c r="A417" s="3" t="s">
        <v>965</v>
      </c>
      <c r="B417" s="136">
        <v>2200</v>
      </c>
      <c r="C417" s="136">
        <v>2200</v>
      </c>
      <c r="D417" s="136">
        <v>2200</v>
      </c>
      <c r="E417" s="136">
        <v>2200</v>
      </c>
      <c r="F417" s="136">
        <v>2200</v>
      </c>
      <c r="G417" s="136">
        <v>2200</v>
      </c>
      <c r="H417" s="136">
        <v>2200</v>
      </c>
      <c r="I417" s="136">
        <v>2200</v>
      </c>
      <c r="J417" s="136">
        <v>2200</v>
      </c>
      <c r="K417" s="136">
        <v>2200</v>
      </c>
      <c r="L417" s="136">
        <v>2200</v>
      </c>
      <c r="M417" s="136">
        <v>2200</v>
      </c>
      <c r="N417" s="4">
        <f t="shared" si="89"/>
        <v>26400</v>
      </c>
      <c r="O417" s="65"/>
      <c r="P417" s="76"/>
      <c r="Q417" s="80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  <c r="AC417" s="114"/>
      <c r="AD417" s="114"/>
      <c r="AE417" s="114"/>
      <c r="AF417" s="114"/>
      <c r="AG417" s="114"/>
      <c r="AH417" s="114"/>
    </row>
    <row r="418" spans="1:34" s="6" customFormat="1" ht="12" customHeight="1">
      <c r="A418" s="3" t="s">
        <v>300</v>
      </c>
      <c r="B418" s="136">
        <v>2200</v>
      </c>
      <c r="C418" s="136">
        <v>2200</v>
      </c>
      <c r="D418" s="136">
        <v>2200</v>
      </c>
      <c r="E418" s="136">
        <v>2200</v>
      </c>
      <c r="F418" s="136">
        <v>2200</v>
      </c>
      <c r="G418" s="136">
        <v>2200</v>
      </c>
      <c r="H418" s="136">
        <v>2200</v>
      </c>
      <c r="I418" s="136">
        <v>2200</v>
      </c>
      <c r="J418" s="136">
        <v>2200</v>
      </c>
      <c r="K418" s="136">
        <v>2200</v>
      </c>
      <c r="L418" s="136">
        <v>2200</v>
      </c>
      <c r="M418" s="136">
        <v>2200</v>
      </c>
      <c r="N418" s="4">
        <f t="shared" si="89"/>
        <v>26400</v>
      </c>
      <c r="O418" s="65"/>
      <c r="P418" s="65"/>
      <c r="Q418" s="81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  <c r="AG418" s="115"/>
      <c r="AH418" s="115"/>
    </row>
    <row r="419" spans="1:34" s="6" customFormat="1" ht="12" customHeight="1">
      <c r="A419" s="3" t="s">
        <v>312</v>
      </c>
      <c r="B419" s="136">
        <v>2200</v>
      </c>
      <c r="C419" s="136">
        <v>2200</v>
      </c>
      <c r="D419" s="136">
        <v>2200</v>
      </c>
      <c r="E419" s="136">
        <v>2200</v>
      </c>
      <c r="F419" s="136">
        <v>2200</v>
      </c>
      <c r="G419" s="136">
        <v>2200</v>
      </c>
      <c r="H419" s="136">
        <v>2200</v>
      </c>
      <c r="I419" s="136">
        <v>2200</v>
      </c>
      <c r="J419" s="136">
        <v>2200</v>
      </c>
      <c r="K419" s="136">
        <v>2200</v>
      </c>
      <c r="L419" s="136">
        <v>2200</v>
      </c>
      <c r="M419" s="136">
        <v>2200</v>
      </c>
      <c r="N419" s="4">
        <f t="shared" si="89"/>
        <v>26400</v>
      </c>
      <c r="O419" s="65"/>
      <c r="P419" s="65"/>
      <c r="Q419" s="81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  <c r="AG419" s="115"/>
      <c r="AH419" s="115"/>
    </row>
    <row r="420" spans="1:34" s="6" customFormat="1" ht="12" customHeight="1">
      <c r="A420" s="3" t="s">
        <v>693</v>
      </c>
      <c r="B420" s="136">
        <v>2200</v>
      </c>
      <c r="C420" s="136">
        <v>2200</v>
      </c>
      <c r="D420" s="136">
        <v>2200</v>
      </c>
      <c r="E420" s="136">
        <v>2200</v>
      </c>
      <c r="F420" s="136">
        <v>2200</v>
      </c>
      <c r="G420" s="136">
        <v>2200</v>
      </c>
      <c r="H420" s="136">
        <v>2200</v>
      </c>
      <c r="I420" s="136">
        <v>2200</v>
      </c>
      <c r="J420" s="136">
        <v>2200</v>
      </c>
      <c r="K420" s="136">
        <v>2200</v>
      </c>
      <c r="L420" s="136">
        <v>2200</v>
      </c>
      <c r="M420" s="136">
        <v>2200</v>
      </c>
      <c r="N420" s="4">
        <f t="shared" si="89"/>
        <v>26400</v>
      </c>
      <c r="O420" s="65"/>
      <c r="P420" s="65"/>
      <c r="Q420" s="81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  <c r="AG420" s="115"/>
      <c r="AH420" s="115"/>
    </row>
    <row r="421" spans="1:34" s="6" customFormat="1" ht="12" customHeight="1">
      <c r="A421" s="301" t="s">
        <v>159</v>
      </c>
      <c r="B421" s="302">
        <f aca="true" t="shared" si="91" ref="B421:N421">B422+B432+B443</f>
        <v>6909833.35</v>
      </c>
      <c r="C421" s="302">
        <f t="shared" si="91"/>
        <v>6908333.35</v>
      </c>
      <c r="D421" s="302">
        <f t="shared" si="91"/>
        <v>6968333.35</v>
      </c>
      <c r="E421" s="302">
        <f t="shared" si="91"/>
        <v>6988333.35</v>
      </c>
      <c r="F421" s="302">
        <f t="shared" si="91"/>
        <v>7300833.35</v>
      </c>
      <c r="G421" s="302">
        <f t="shared" si="91"/>
        <v>6908333.35</v>
      </c>
      <c r="H421" s="302">
        <f t="shared" si="91"/>
        <v>7108333.35</v>
      </c>
      <c r="I421" s="302">
        <f t="shared" si="91"/>
        <v>6908333.35</v>
      </c>
      <c r="J421" s="302">
        <f t="shared" si="91"/>
        <v>6908333.35</v>
      </c>
      <c r="K421" s="302">
        <f t="shared" si="91"/>
        <v>6908333.35</v>
      </c>
      <c r="L421" s="302">
        <f t="shared" si="91"/>
        <v>6908333.35</v>
      </c>
      <c r="M421" s="302">
        <f>M422+M432+M443</f>
        <v>7158333.35</v>
      </c>
      <c r="N421" s="302">
        <f t="shared" si="91"/>
        <v>83884000.19999999</v>
      </c>
      <c r="O421" s="65">
        <f>N422+N432+N443</f>
        <v>83884000.19999999</v>
      </c>
      <c r="P421" s="76">
        <f>SUM(B421:I421)</f>
        <v>56000666.800000004</v>
      </c>
      <c r="Q421" s="81"/>
      <c r="R421" s="115"/>
      <c r="S421" s="115"/>
      <c r="T421" s="115" t="e">
        <f>S422+S432+S443+#REF!</f>
        <v>#REF!</v>
      </c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  <c r="AG421" s="115"/>
      <c r="AH421" s="115"/>
    </row>
    <row r="422" spans="1:34" s="6" customFormat="1" ht="12" customHeight="1">
      <c r="A422" s="15" t="s">
        <v>670</v>
      </c>
      <c r="B422" s="137">
        <f>B423</f>
        <v>6050000.01</v>
      </c>
      <c r="C422" s="137">
        <f>C423</f>
        <v>6050000.01</v>
      </c>
      <c r="D422" s="137">
        <f aca="true" t="shared" si="92" ref="D422:M422">D423</f>
        <v>6110000.01</v>
      </c>
      <c r="E422" s="137">
        <f t="shared" si="92"/>
        <v>6050000.01</v>
      </c>
      <c r="F422" s="137">
        <f t="shared" si="92"/>
        <v>6430000.01</v>
      </c>
      <c r="G422" s="137">
        <f t="shared" si="92"/>
        <v>6050000.01</v>
      </c>
      <c r="H422" s="137">
        <f t="shared" si="92"/>
        <v>6250000.01</v>
      </c>
      <c r="I422" s="137">
        <f t="shared" si="92"/>
        <v>6050000.01</v>
      </c>
      <c r="J422" s="137">
        <f t="shared" si="92"/>
        <v>6050000.01</v>
      </c>
      <c r="K422" s="137">
        <f t="shared" si="92"/>
        <v>6050000.01</v>
      </c>
      <c r="L422" s="137">
        <f t="shared" si="92"/>
        <v>6050000.01</v>
      </c>
      <c r="M422" s="137">
        <f t="shared" si="92"/>
        <v>6050000.01</v>
      </c>
      <c r="N422" s="16">
        <f>SUM(B422:M422)</f>
        <v>73240000.11999999</v>
      </c>
      <c r="O422" s="65">
        <f>SUM(B422:M422)</f>
        <v>73240000.11999999</v>
      </c>
      <c r="P422" s="76"/>
      <c r="Q422" s="81"/>
      <c r="R422" s="115">
        <f>'[1]Ejecución Indotel'!$BL$60</f>
        <v>2149999</v>
      </c>
      <c r="S422" s="115">
        <f>SUM(N424:N429)</f>
        <v>68240000.08</v>
      </c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  <c r="AG422" s="115"/>
      <c r="AH422" s="115"/>
    </row>
    <row r="423" spans="1:34" s="5" customFormat="1" ht="12">
      <c r="A423" s="15" t="s">
        <v>670</v>
      </c>
      <c r="B423" s="137">
        <f>SUM(B424:B431)</f>
        <v>6050000.01</v>
      </c>
      <c r="C423" s="137">
        <f aca="true" t="shared" si="93" ref="C423:M423">SUM(C424:C431)</f>
        <v>6050000.01</v>
      </c>
      <c r="D423" s="137">
        <f t="shared" si="93"/>
        <v>6110000.01</v>
      </c>
      <c r="E423" s="137">
        <f t="shared" si="93"/>
        <v>6050000.01</v>
      </c>
      <c r="F423" s="137">
        <f t="shared" si="93"/>
        <v>6430000.01</v>
      </c>
      <c r="G423" s="137">
        <f t="shared" si="93"/>
        <v>6050000.01</v>
      </c>
      <c r="H423" s="137">
        <f t="shared" si="93"/>
        <v>6250000.01</v>
      </c>
      <c r="I423" s="137">
        <f t="shared" si="93"/>
        <v>6050000.01</v>
      </c>
      <c r="J423" s="137">
        <f t="shared" si="93"/>
        <v>6050000.01</v>
      </c>
      <c r="K423" s="137">
        <f t="shared" si="93"/>
        <v>6050000.01</v>
      </c>
      <c r="L423" s="137">
        <f t="shared" si="93"/>
        <v>6050000.01</v>
      </c>
      <c r="M423" s="137">
        <f t="shared" si="93"/>
        <v>6050000.01</v>
      </c>
      <c r="N423" s="16">
        <f>SUM(B423:M423)</f>
        <v>73240000.11999999</v>
      </c>
      <c r="O423" s="76">
        <f>SUM(B423:M423)</f>
        <v>73240000.11999999</v>
      </c>
      <c r="P423" s="76">
        <f>SUM(B423:M423)</f>
        <v>73240000.11999999</v>
      </c>
      <c r="Q423" s="80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  <c r="AC423" s="114"/>
      <c r="AD423" s="114"/>
      <c r="AE423" s="114"/>
      <c r="AF423" s="114"/>
      <c r="AG423" s="114"/>
      <c r="AH423" s="114"/>
    </row>
    <row r="424" spans="1:34" s="5" customFormat="1" ht="12.75" customHeight="1" hidden="1">
      <c r="A424" s="321" t="s">
        <v>933</v>
      </c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>
        <f aca="true" t="shared" si="94" ref="N424:N445">SUM(B424:M424)</f>
        <v>0</v>
      </c>
      <c r="O424" s="76">
        <f>SUM(N424:N429)</f>
        <v>68240000.08</v>
      </c>
      <c r="P424" s="76"/>
      <c r="Q424" s="80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  <c r="AC424" s="114"/>
      <c r="AD424" s="114"/>
      <c r="AE424" s="114"/>
      <c r="AF424" s="114"/>
      <c r="AG424" s="114"/>
      <c r="AH424" s="114"/>
    </row>
    <row r="425" spans="1:34" s="5" customFormat="1" ht="12.75" customHeight="1">
      <c r="A425" s="321" t="s">
        <v>934</v>
      </c>
      <c r="B425" s="4">
        <v>833333.34</v>
      </c>
      <c r="C425" s="4">
        <v>833333.34</v>
      </c>
      <c r="D425" s="4">
        <v>833333.34</v>
      </c>
      <c r="E425" s="4">
        <v>833333.34</v>
      </c>
      <c r="F425" s="4">
        <v>833333.34</v>
      </c>
      <c r="G425" s="4">
        <v>833333.34</v>
      </c>
      <c r="H425" s="4">
        <v>833333.34</v>
      </c>
      <c r="I425" s="4">
        <v>833333.34</v>
      </c>
      <c r="J425" s="4">
        <v>833333.34</v>
      </c>
      <c r="K425" s="4">
        <v>833333.34</v>
      </c>
      <c r="L425" s="4">
        <v>833333.34</v>
      </c>
      <c r="M425" s="4">
        <v>833333.34</v>
      </c>
      <c r="N425" s="4">
        <f t="shared" si="94"/>
        <v>10000000.08</v>
      </c>
      <c r="O425" s="76"/>
      <c r="P425" s="76"/>
      <c r="Q425" s="80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  <c r="AC425" s="114"/>
      <c r="AD425" s="114"/>
      <c r="AE425" s="114"/>
      <c r="AF425" s="114"/>
      <c r="AG425" s="114"/>
      <c r="AH425" s="114"/>
    </row>
    <row r="426" spans="1:34" s="5" customFormat="1" ht="12" customHeight="1">
      <c r="A426" s="321" t="s">
        <v>686</v>
      </c>
      <c r="B426" s="4"/>
      <c r="C426" s="4"/>
      <c r="D426" s="4">
        <v>60000</v>
      </c>
      <c r="E426" s="4"/>
      <c r="F426" s="4"/>
      <c r="G426" s="4"/>
      <c r="H426" s="4"/>
      <c r="I426" s="4"/>
      <c r="J426" s="4"/>
      <c r="K426" s="4"/>
      <c r="L426" s="4"/>
      <c r="M426" s="4"/>
      <c r="N426" s="4">
        <f t="shared" si="94"/>
        <v>60000</v>
      </c>
      <c r="O426" s="76"/>
      <c r="P426" s="76"/>
      <c r="Q426" s="80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  <c r="AC426" s="114"/>
      <c r="AD426" s="114"/>
      <c r="AE426" s="114"/>
      <c r="AF426" s="114"/>
      <c r="AG426" s="114"/>
      <c r="AH426" s="114"/>
    </row>
    <row r="427" spans="1:34" s="5" customFormat="1" ht="12" customHeight="1">
      <c r="A427" s="321" t="s">
        <v>687</v>
      </c>
      <c r="B427" s="4"/>
      <c r="C427" s="4"/>
      <c r="D427" s="4"/>
      <c r="E427" s="4"/>
      <c r="F427" s="4">
        <v>380000</v>
      </c>
      <c r="G427" s="4"/>
      <c r="H427" s="4"/>
      <c r="I427" s="4"/>
      <c r="J427" s="4"/>
      <c r="K427" s="4"/>
      <c r="L427" s="4"/>
      <c r="M427" s="4"/>
      <c r="N427" s="4">
        <f t="shared" si="94"/>
        <v>380000</v>
      </c>
      <c r="O427" s="76"/>
      <c r="P427" s="76"/>
      <c r="Q427" s="80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  <c r="AC427" s="114"/>
      <c r="AD427" s="114"/>
      <c r="AE427" s="114"/>
      <c r="AF427" s="114"/>
      <c r="AG427" s="114"/>
      <c r="AH427" s="114"/>
    </row>
    <row r="428" spans="1:34" s="5" customFormat="1" ht="12" customHeight="1">
      <c r="A428" s="321" t="s">
        <v>951</v>
      </c>
      <c r="B428" s="4"/>
      <c r="C428" s="4"/>
      <c r="D428" s="4"/>
      <c r="E428" s="4"/>
      <c r="F428" s="4"/>
      <c r="G428" s="4"/>
      <c r="H428" s="4">
        <v>200000</v>
      </c>
      <c r="I428" s="4"/>
      <c r="J428" s="4"/>
      <c r="K428" s="4"/>
      <c r="L428" s="4"/>
      <c r="M428" s="4"/>
      <c r="N428" s="4">
        <f t="shared" si="94"/>
        <v>200000</v>
      </c>
      <c r="O428" s="76"/>
      <c r="P428" s="76"/>
      <c r="Q428" s="80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  <c r="AC428" s="114"/>
      <c r="AD428" s="114"/>
      <c r="AE428" s="114"/>
      <c r="AF428" s="114"/>
      <c r="AG428" s="114"/>
      <c r="AH428" s="114"/>
    </row>
    <row r="429" spans="1:34" s="5" customFormat="1" ht="12" customHeight="1">
      <c r="A429" s="321" t="s">
        <v>671</v>
      </c>
      <c r="B429" s="159">
        <v>4800000</v>
      </c>
      <c r="C429" s="159">
        <v>4800000</v>
      </c>
      <c r="D429" s="159">
        <v>4800000</v>
      </c>
      <c r="E429" s="4">
        <v>4800000</v>
      </c>
      <c r="F429" s="4">
        <v>4800000</v>
      </c>
      <c r="G429" s="4">
        <v>4800000</v>
      </c>
      <c r="H429" s="4">
        <v>4800000</v>
      </c>
      <c r="I429" s="4">
        <v>4800000</v>
      </c>
      <c r="J429" s="4">
        <v>4800000</v>
      </c>
      <c r="K429" s="4">
        <v>4800000</v>
      </c>
      <c r="L429" s="4">
        <v>4800000</v>
      </c>
      <c r="M429" s="4">
        <v>4800000</v>
      </c>
      <c r="N429" s="4">
        <f t="shared" si="94"/>
        <v>57600000</v>
      </c>
      <c r="O429" s="76"/>
      <c r="P429" s="76"/>
      <c r="Q429" s="80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  <c r="AC429" s="114"/>
      <c r="AD429" s="114"/>
      <c r="AE429" s="114"/>
      <c r="AF429" s="114"/>
      <c r="AG429" s="114"/>
      <c r="AH429" s="114"/>
    </row>
    <row r="430" spans="1:34" s="5" customFormat="1" ht="12" customHeight="1">
      <c r="A430" s="359" t="s">
        <v>684</v>
      </c>
      <c r="B430" s="159">
        <v>250000</v>
      </c>
      <c r="C430" s="159">
        <v>250000</v>
      </c>
      <c r="D430" s="159">
        <v>250000</v>
      </c>
      <c r="E430" s="159">
        <v>250000</v>
      </c>
      <c r="F430" s="159">
        <v>250000</v>
      </c>
      <c r="G430" s="159">
        <v>250000</v>
      </c>
      <c r="H430" s="159">
        <v>250000</v>
      </c>
      <c r="I430" s="159">
        <v>250000</v>
      </c>
      <c r="J430" s="159">
        <v>250000</v>
      </c>
      <c r="K430" s="159">
        <v>250000</v>
      </c>
      <c r="L430" s="159">
        <v>250000</v>
      </c>
      <c r="M430" s="159">
        <v>250000</v>
      </c>
      <c r="N430" s="159">
        <f t="shared" si="94"/>
        <v>3000000</v>
      </c>
      <c r="O430" s="76"/>
      <c r="P430" s="76"/>
      <c r="Q430" s="80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  <c r="AC430" s="114"/>
      <c r="AD430" s="114"/>
      <c r="AE430" s="114"/>
      <c r="AF430" s="114"/>
      <c r="AG430" s="114"/>
      <c r="AH430" s="114"/>
    </row>
    <row r="431" spans="1:34" s="5" customFormat="1" ht="12" customHeight="1">
      <c r="A431" s="359" t="s">
        <v>685</v>
      </c>
      <c r="B431" s="159">
        <v>166666.67</v>
      </c>
      <c r="C431" s="159">
        <v>166666.67</v>
      </c>
      <c r="D431" s="159">
        <v>166666.67</v>
      </c>
      <c r="E431" s="159">
        <v>166666.67</v>
      </c>
      <c r="F431" s="159">
        <v>166666.67</v>
      </c>
      <c r="G431" s="159">
        <v>166666.67</v>
      </c>
      <c r="H431" s="159">
        <v>166666.67</v>
      </c>
      <c r="I431" s="159">
        <v>166666.67</v>
      </c>
      <c r="J431" s="159">
        <v>166666.67</v>
      </c>
      <c r="K431" s="159">
        <v>166666.67</v>
      </c>
      <c r="L431" s="159">
        <v>166666.67</v>
      </c>
      <c r="M431" s="159">
        <v>166666.67</v>
      </c>
      <c r="N431" s="159">
        <f t="shared" si="94"/>
        <v>2000000.0399999998</v>
      </c>
      <c r="O431" s="76"/>
      <c r="P431" s="76"/>
      <c r="Q431" s="80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4"/>
      <c r="AD431" s="114"/>
      <c r="AE431" s="114"/>
      <c r="AF431" s="114"/>
      <c r="AG431" s="114"/>
      <c r="AH431" s="114"/>
    </row>
    <row r="432" spans="1:34" s="6" customFormat="1" ht="12">
      <c r="A432" s="218" t="s">
        <v>146</v>
      </c>
      <c r="B432" s="123">
        <f aca="true" t="shared" si="95" ref="B432:M432">SUM(B433:B442)</f>
        <v>776500</v>
      </c>
      <c r="C432" s="123">
        <f t="shared" si="95"/>
        <v>775000</v>
      </c>
      <c r="D432" s="123">
        <f t="shared" si="95"/>
        <v>775000</v>
      </c>
      <c r="E432" s="123">
        <f t="shared" si="95"/>
        <v>855000</v>
      </c>
      <c r="F432" s="123">
        <f t="shared" si="95"/>
        <v>787500</v>
      </c>
      <c r="G432" s="123">
        <f t="shared" si="95"/>
        <v>775000</v>
      </c>
      <c r="H432" s="123">
        <f t="shared" si="95"/>
        <v>775000</v>
      </c>
      <c r="I432" s="123">
        <f t="shared" si="95"/>
        <v>775000</v>
      </c>
      <c r="J432" s="123">
        <f t="shared" si="95"/>
        <v>775000</v>
      </c>
      <c r="K432" s="123">
        <f t="shared" si="95"/>
        <v>775000</v>
      </c>
      <c r="L432" s="123">
        <f t="shared" si="95"/>
        <v>775000</v>
      </c>
      <c r="M432" s="123">
        <f t="shared" si="95"/>
        <v>1025000</v>
      </c>
      <c r="N432" s="123">
        <f aca="true" t="shared" si="96" ref="N432:N437">SUM(B432:M432)</f>
        <v>9644000</v>
      </c>
      <c r="O432" s="65">
        <f>SUM(N433:N442)</f>
        <v>9644000</v>
      </c>
      <c r="P432" s="76">
        <f>SUM(B432:I432)</f>
        <v>6294000</v>
      </c>
      <c r="Q432" s="81"/>
      <c r="R432" s="115">
        <f>'[1]Ejecución Indotel'!$BL$61</f>
        <v>212833</v>
      </c>
      <c r="S432" s="115">
        <f>SUM(N438:N442)</f>
        <v>0</v>
      </c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  <c r="AG432" s="115"/>
      <c r="AH432" s="115"/>
    </row>
    <row r="433" spans="1:34" s="6" customFormat="1" ht="12">
      <c r="A433" s="354" t="s">
        <v>888</v>
      </c>
      <c r="B433" s="479">
        <v>775000</v>
      </c>
      <c r="C433" s="479">
        <v>775000</v>
      </c>
      <c r="D433" s="479">
        <v>775000</v>
      </c>
      <c r="E433" s="479">
        <v>775000</v>
      </c>
      <c r="F433" s="479">
        <v>775000</v>
      </c>
      <c r="G433" s="479">
        <v>775000</v>
      </c>
      <c r="H433" s="479">
        <v>775000</v>
      </c>
      <c r="I433" s="479">
        <v>775000</v>
      </c>
      <c r="J433" s="479">
        <v>775000</v>
      </c>
      <c r="K433" s="479">
        <v>775000</v>
      </c>
      <c r="L433" s="479">
        <v>775000</v>
      </c>
      <c r="M433" s="479">
        <v>775000</v>
      </c>
      <c r="N433" s="159">
        <f t="shared" si="96"/>
        <v>9300000</v>
      </c>
      <c r="O433" s="65"/>
      <c r="P433" s="76"/>
      <c r="Q433" s="81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  <c r="AG433" s="115"/>
      <c r="AH433" s="115"/>
    </row>
    <row r="434" spans="1:34" s="5" customFormat="1" ht="12">
      <c r="A434" s="355" t="s">
        <v>889</v>
      </c>
      <c r="B434" s="296">
        <v>1500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>
        <v>250000</v>
      </c>
      <c r="N434" s="4">
        <f t="shared" si="96"/>
        <v>251500</v>
      </c>
      <c r="O434" s="76"/>
      <c r="P434" s="76"/>
      <c r="Q434" s="80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  <c r="AC434" s="114"/>
      <c r="AD434" s="114"/>
      <c r="AE434" s="114"/>
      <c r="AF434" s="114"/>
      <c r="AG434" s="114"/>
      <c r="AH434" s="114"/>
    </row>
    <row r="435" spans="1:34" s="5" customFormat="1" ht="12">
      <c r="A435" s="355" t="s">
        <v>721</v>
      </c>
      <c r="B435" s="296"/>
      <c r="C435" s="4"/>
      <c r="D435" s="4"/>
      <c r="E435" s="4">
        <f>15000*2</f>
        <v>30000</v>
      </c>
      <c r="F435" s="4"/>
      <c r="G435" s="4"/>
      <c r="H435" s="4"/>
      <c r="I435" s="4"/>
      <c r="J435" s="4"/>
      <c r="K435" s="4"/>
      <c r="L435" s="4"/>
      <c r="M435" s="4"/>
      <c r="N435" s="4">
        <f t="shared" si="96"/>
        <v>30000</v>
      </c>
      <c r="O435" s="76"/>
      <c r="P435" s="76"/>
      <c r="Q435" s="80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  <c r="AC435" s="114"/>
      <c r="AD435" s="114"/>
      <c r="AE435" s="114"/>
      <c r="AF435" s="114"/>
      <c r="AG435" s="114"/>
      <c r="AH435" s="114"/>
    </row>
    <row r="436" spans="1:34" s="5" customFormat="1" ht="12">
      <c r="A436" s="355" t="s">
        <v>722</v>
      </c>
      <c r="B436" s="296"/>
      <c r="C436" s="4"/>
      <c r="D436" s="4"/>
      <c r="E436" s="4">
        <f>5000*10</f>
        <v>50000</v>
      </c>
      <c r="F436" s="4"/>
      <c r="G436" s="4"/>
      <c r="H436" s="4"/>
      <c r="I436" s="4"/>
      <c r="J436" s="4"/>
      <c r="K436" s="4"/>
      <c r="L436" s="4"/>
      <c r="M436" s="4"/>
      <c r="N436" s="4">
        <f t="shared" si="96"/>
        <v>50000</v>
      </c>
      <c r="O436" s="76"/>
      <c r="P436" s="76"/>
      <c r="Q436" s="80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4"/>
      <c r="AF436" s="114"/>
      <c r="AG436" s="114"/>
      <c r="AH436" s="114"/>
    </row>
    <row r="437" spans="1:34" s="5" customFormat="1" ht="12">
      <c r="A437" s="355" t="s">
        <v>748</v>
      </c>
      <c r="B437" s="296"/>
      <c r="C437" s="4"/>
      <c r="D437" s="4"/>
      <c r="E437" s="4"/>
      <c r="F437" s="4">
        <f>25*500</f>
        <v>12500</v>
      </c>
      <c r="G437" s="4"/>
      <c r="H437" s="4"/>
      <c r="I437" s="4"/>
      <c r="J437" s="4"/>
      <c r="K437" s="4"/>
      <c r="L437" s="4"/>
      <c r="M437" s="4"/>
      <c r="N437" s="4">
        <f t="shared" si="96"/>
        <v>12500</v>
      </c>
      <c r="O437" s="76"/>
      <c r="P437" s="76"/>
      <c r="Q437" s="80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4"/>
      <c r="AF437" s="114"/>
      <c r="AG437" s="114"/>
      <c r="AH437" s="114"/>
    </row>
    <row r="438" spans="1:34" s="5" customFormat="1" ht="12" customHeight="1" hidden="1">
      <c r="A438" s="257" t="s">
        <v>555</v>
      </c>
      <c r="B438" s="258"/>
      <c r="C438" s="136"/>
      <c r="D438" s="262"/>
      <c r="E438" s="270"/>
      <c r="F438" s="259"/>
      <c r="G438" s="259"/>
      <c r="H438" s="136"/>
      <c r="I438" s="136"/>
      <c r="J438" s="136"/>
      <c r="K438" s="136"/>
      <c r="L438" s="136"/>
      <c r="M438" s="136"/>
      <c r="N438" s="4">
        <f t="shared" si="94"/>
        <v>0</v>
      </c>
      <c r="O438" s="76"/>
      <c r="P438" s="76"/>
      <c r="Q438" s="80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  <c r="AC438" s="114"/>
      <c r="AD438" s="114"/>
      <c r="AE438" s="114"/>
      <c r="AF438" s="114"/>
      <c r="AG438" s="114"/>
      <c r="AH438" s="114"/>
    </row>
    <row r="439" spans="1:34" s="5" customFormat="1" ht="12" customHeight="1" hidden="1">
      <c r="A439" s="257" t="s">
        <v>594</v>
      </c>
      <c r="B439" s="258"/>
      <c r="C439" s="136"/>
      <c r="D439" s="262"/>
      <c r="E439" s="270"/>
      <c r="F439" s="259"/>
      <c r="G439" s="259"/>
      <c r="H439" s="136"/>
      <c r="I439" s="136"/>
      <c r="J439" s="136"/>
      <c r="K439" s="136"/>
      <c r="L439" s="136"/>
      <c r="M439" s="136"/>
      <c r="N439" s="4">
        <f t="shared" si="94"/>
        <v>0</v>
      </c>
      <c r="O439" s="76"/>
      <c r="P439" s="76"/>
      <c r="Q439" s="80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  <c r="AC439" s="114"/>
      <c r="AD439" s="114"/>
      <c r="AE439" s="114"/>
      <c r="AF439" s="114"/>
      <c r="AG439" s="114"/>
      <c r="AH439" s="114"/>
    </row>
    <row r="440" spans="1:34" s="5" customFormat="1" ht="12" customHeight="1" hidden="1">
      <c r="A440" s="257" t="s">
        <v>595</v>
      </c>
      <c r="B440" s="258"/>
      <c r="C440" s="136"/>
      <c r="D440" s="262"/>
      <c r="E440" s="270"/>
      <c r="F440" s="259"/>
      <c r="G440" s="259"/>
      <c r="H440" s="136"/>
      <c r="I440" s="136"/>
      <c r="J440" s="136"/>
      <c r="K440" s="136"/>
      <c r="L440" s="136"/>
      <c r="M440" s="136"/>
      <c r="N440" s="4">
        <f t="shared" si="94"/>
        <v>0</v>
      </c>
      <c r="O440" s="76"/>
      <c r="P440" s="76"/>
      <c r="Q440" s="80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  <c r="AC440" s="114"/>
      <c r="AD440" s="114"/>
      <c r="AE440" s="114"/>
      <c r="AF440" s="114"/>
      <c r="AG440" s="114"/>
      <c r="AH440" s="114"/>
    </row>
    <row r="441" spans="1:34" s="5" customFormat="1" ht="12" customHeight="1" hidden="1">
      <c r="A441" s="257" t="s">
        <v>596</v>
      </c>
      <c r="B441" s="258"/>
      <c r="C441" s="136"/>
      <c r="D441" s="262"/>
      <c r="E441" s="270"/>
      <c r="F441" s="259"/>
      <c r="G441" s="259"/>
      <c r="H441" s="136"/>
      <c r="I441" s="136"/>
      <c r="J441" s="136"/>
      <c r="K441" s="136"/>
      <c r="L441" s="136"/>
      <c r="M441" s="136"/>
      <c r="N441" s="4">
        <f t="shared" si="94"/>
        <v>0</v>
      </c>
      <c r="O441" s="76"/>
      <c r="P441" s="76"/>
      <c r="Q441" s="80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  <c r="AC441" s="114"/>
      <c r="AD441" s="114"/>
      <c r="AE441" s="114"/>
      <c r="AF441" s="114"/>
      <c r="AG441" s="114"/>
      <c r="AH441" s="114"/>
    </row>
    <row r="442" spans="1:34" s="5" customFormat="1" ht="12" customHeight="1" hidden="1">
      <c r="A442" s="257" t="s">
        <v>597</v>
      </c>
      <c r="B442" s="258"/>
      <c r="C442" s="136"/>
      <c r="D442" s="136"/>
      <c r="E442" s="136"/>
      <c r="F442" s="184"/>
      <c r="G442" s="136"/>
      <c r="H442" s="136"/>
      <c r="I442" s="136"/>
      <c r="J442" s="136"/>
      <c r="K442" s="136"/>
      <c r="L442" s="136"/>
      <c r="M442" s="136"/>
      <c r="N442" s="4">
        <f t="shared" si="94"/>
        <v>0</v>
      </c>
      <c r="O442" s="76"/>
      <c r="P442" s="76"/>
      <c r="Q442" s="80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  <c r="AC442" s="114"/>
      <c r="AD442" s="114"/>
      <c r="AE442" s="114"/>
      <c r="AF442" s="114"/>
      <c r="AG442" s="114"/>
      <c r="AH442" s="114"/>
    </row>
    <row r="443" spans="1:34" s="236" customFormat="1" ht="12">
      <c r="A443" s="15" t="s">
        <v>215</v>
      </c>
      <c r="B443" s="16">
        <f aca="true" t="shared" si="97" ref="B443:M443">SUM(B444:B445)</f>
        <v>83333.34</v>
      </c>
      <c r="C443" s="16">
        <f t="shared" si="97"/>
        <v>83333.34</v>
      </c>
      <c r="D443" s="16">
        <f t="shared" si="97"/>
        <v>83333.34</v>
      </c>
      <c r="E443" s="16">
        <f t="shared" si="97"/>
        <v>83333.34</v>
      </c>
      <c r="F443" s="16">
        <f t="shared" si="97"/>
        <v>83333.34</v>
      </c>
      <c r="G443" s="16">
        <f t="shared" si="97"/>
        <v>83333.34</v>
      </c>
      <c r="H443" s="16">
        <f t="shared" si="97"/>
        <v>83333.34</v>
      </c>
      <c r="I443" s="16">
        <f t="shared" si="97"/>
        <v>83333.34</v>
      </c>
      <c r="J443" s="16">
        <f t="shared" si="97"/>
        <v>83333.34</v>
      </c>
      <c r="K443" s="16">
        <f t="shared" si="97"/>
        <v>83333.34</v>
      </c>
      <c r="L443" s="16">
        <f t="shared" si="97"/>
        <v>83333.34</v>
      </c>
      <c r="M443" s="16">
        <f t="shared" si="97"/>
        <v>83333.34</v>
      </c>
      <c r="N443" s="16">
        <f>SUM(B443:M443)</f>
        <v>1000000.0799999997</v>
      </c>
      <c r="O443" s="256"/>
      <c r="P443" s="256"/>
      <c r="Q443" s="237"/>
      <c r="R443" s="238">
        <f>'[1]Ejecución Indotel'!$BL$62</f>
        <v>896666</v>
      </c>
      <c r="S443" s="238">
        <f>SUM(N444:N445)</f>
        <v>1000000.0799999997</v>
      </c>
      <c r="T443" s="238"/>
      <c r="U443" s="238"/>
      <c r="V443" s="238"/>
      <c r="W443" s="238"/>
      <c r="X443" s="238"/>
      <c r="Y443" s="238"/>
      <c r="Z443" s="238"/>
      <c r="AA443" s="238"/>
      <c r="AB443" s="238"/>
      <c r="AC443" s="238"/>
      <c r="AD443" s="238"/>
      <c r="AE443" s="238"/>
      <c r="AF443" s="238"/>
      <c r="AG443" s="238"/>
      <c r="AH443" s="238"/>
    </row>
    <row r="444" spans="1:34" s="154" customFormat="1" ht="12">
      <c r="A444" s="3" t="s">
        <v>598</v>
      </c>
      <c r="B444" s="136">
        <v>83333.34</v>
      </c>
      <c r="C444" s="136">
        <v>83333.34</v>
      </c>
      <c r="D444" s="136">
        <v>83333.34</v>
      </c>
      <c r="E444" s="136">
        <v>83333.34</v>
      </c>
      <c r="F444" s="136">
        <v>83333.34</v>
      </c>
      <c r="G444" s="136">
        <v>83333.34</v>
      </c>
      <c r="H444" s="136">
        <v>83333.34</v>
      </c>
      <c r="I444" s="136">
        <v>83333.34</v>
      </c>
      <c r="J444" s="136">
        <v>83333.34</v>
      </c>
      <c r="K444" s="136">
        <v>83333.34</v>
      </c>
      <c r="L444" s="136">
        <v>83333.34</v>
      </c>
      <c r="M444" s="136">
        <v>83333.34</v>
      </c>
      <c r="N444" s="4">
        <f>SUM(B444:M444)</f>
        <v>1000000.0799999997</v>
      </c>
      <c r="O444" s="155">
        <f>SUM(N444:N445)</f>
        <v>1000000.0799999997</v>
      </c>
      <c r="P444" s="155">
        <f>SUM(B444:I444)</f>
        <v>666666.7199999999</v>
      </c>
      <c r="Q444" s="156"/>
      <c r="R444" s="157"/>
      <c r="S444" s="157"/>
      <c r="T444" s="157"/>
      <c r="U444" s="157"/>
      <c r="V444" s="157"/>
      <c r="W444" s="157"/>
      <c r="X444" s="157"/>
      <c r="Y444" s="157"/>
      <c r="Z444" s="157"/>
      <c r="AA444" s="157"/>
      <c r="AB444" s="157"/>
      <c r="AC444" s="157"/>
      <c r="AD444" s="157"/>
      <c r="AE444" s="157"/>
      <c r="AF444" s="157"/>
      <c r="AG444" s="157"/>
      <c r="AH444" s="157"/>
    </row>
    <row r="445" spans="1:34" s="154" customFormat="1" ht="12">
      <c r="A445" s="3" t="s">
        <v>607</v>
      </c>
      <c r="B445" s="136"/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  <c r="M445" s="136"/>
      <c r="N445" s="4">
        <f t="shared" si="94"/>
        <v>0</v>
      </c>
      <c r="O445" s="155"/>
      <c r="P445" s="155"/>
      <c r="Q445" s="156"/>
      <c r="R445" s="157"/>
      <c r="S445" s="157"/>
      <c r="T445" s="157"/>
      <c r="U445" s="157"/>
      <c r="V445" s="157"/>
      <c r="W445" s="157"/>
      <c r="X445" s="157"/>
      <c r="Y445" s="157"/>
      <c r="Z445" s="157"/>
      <c r="AA445" s="157"/>
      <c r="AB445" s="157"/>
      <c r="AC445" s="157"/>
      <c r="AD445" s="157"/>
      <c r="AE445" s="157"/>
      <c r="AF445" s="157"/>
      <c r="AG445" s="157"/>
      <c r="AH445" s="157"/>
    </row>
    <row r="446" spans="1:34" s="28" customFormat="1" ht="12" customHeight="1">
      <c r="A446" s="15" t="s">
        <v>178</v>
      </c>
      <c r="B446" s="137">
        <f aca="true" t="shared" si="98" ref="B446:M446">B447+B489</f>
        <v>1510748.3300000003</v>
      </c>
      <c r="C446" s="137">
        <f t="shared" si="98"/>
        <v>1518448.3300000003</v>
      </c>
      <c r="D446" s="137">
        <f t="shared" si="98"/>
        <v>1528348.3300000003</v>
      </c>
      <c r="E446" s="137">
        <f t="shared" si="98"/>
        <v>1522848.3300000003</v>
      </c>
      <c r="F446" s="137">
        <f t="shared" si="98"/>
        <v>1531448.3300000003</v>
      </c>
      <c r="G446" s="137">
        <f t="shared" si="98"/>
        <v>1519848.3300000003</v>
      </c>
      <c r="H446" s="137">
        <f t="shared" si="98"/>
        <v>1565448.3300000005</v>
      </c>
      <c r="I446" s="137">
        <f t="shared" si="98"/>
        <v>1547848.3300000005</v>
      </c>
      <c r="J446" s="137">
        <f t="shared" si="98"/>
        <v>1544348.3300000005</v>
      </c>
      <c r="K446" s="137">
        <f t="shared" si="98"/>
        <v>1615292.7700000005</v>
      </c>
      <c r="L446" s="137">
        <f t="shared" si="98"/>
        <v>1603392.7700000005</v>
      </c>
      <c r="M446" s="137">
        <f t="shared" si="98"/>
        <v>1486794.12</v>
      </c>
      <c r="N446" s="16">
        <f>SUM(B446:M446)</f>
        <v>18494814.630000003</v>
      </c>
      <c r="O446" s="66">
        <f>N447+N489</f>
        <v>18494814.63000001</v>
      </c>
      <c r="P446" s="34">
        <f>SUM(B446:I446)</f>
        <v>12244986.640000002</v>
      </c>
      <c r="Q446" s="68"/>
      <c r="R446" s="117"/>
      <c r="S446" s="117"/>
      <c r="T446" s="117">
        <f>S447+S489</f>
        <v>18494814.630000003</v>
      </c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 t="e">
        <f>SUM(#REF!)</f>
        <v>#REF!</v>
      </c>
    </row>
    <row r="447" spans="1:34" s="6" customFormat="1" ht="12" customHeight="1">
      <c r="A447" s="15" t="s">
        <v>39</v>
      </c>
      <c r="B447" s="137">
        <f aca="true" t="shared" si="99" ref="B447:M447">SUM(B448:B488)</f>
        <v>670597.28</v>
      </c>
      <c r="C447" s="137">
        <f t="shared" si="99"/>
        <v>678297.28</v>
      </c>
      <c r="D447" s="137">
        <f t="shared" si="99"/>
        <v>688197.28</v>
      </c>
      <c r="E447" s="137">
        <f t="shared" si="99"/>
        <v>682697.28</v>
      </c>
      <c r="F447" s="137">
        <f>SUM(F448:F488)</f>
        <v>691297.28</v>
      </c>
      <c r="G447" s="137">
        <f t="shared" si="99"/>
        <v>679697.28</v>
      </c>
      <c r="H447" s="137">
        <f t="shared" si="99"/>
        <v>725297.2800000001</v>
      </c>
      <c r="I447" s="137">
        <f t="shared" si="99"/>
        <v>707697.2800000001</v>
      </c>
      <c r="J447" s="137">
        <f t="shared" si="99"/>
        <v>704197.2800000001</v>
      </c>
      <c r="K447" s="137">
        <f t="shared" si="99"/>
        <v>775141.7200000002</v>
      </c>
      <c r="L447" s="137">
        <f t="shared" si="99"/>
        <v>763241.7200000002</v>
      </c>
      <c r="M447" s="137">
        <f t="shared" si="99"/>
        <v>646641.72</v>
      </c>
      <c r="N447" s="16">
        <f>SUM(B447:M447)</f>
        <v>8413000.680000003</v>
      </c>
      <c r="O447" s="65">
        <f>SUM(N448:N488)</f>
        <v>8413000.68</v>
      </c>
      <c r="P447" s="65">
        <f>SUM(B447:I447)</f>
        <v>5523778.240000001</v>
      </c>
      <c r="Q447" s="81"/>
      <c r="R447" s="115">
        <f>'[1]Ejecución Indotel'!$BL$84</f>
        <v>105000</v>
      </c>
      <c r="S447" s="115">
        <f>SUM(N448:N488)</f>
        <v>8413000.68</v>
      </c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  <c r="AG447" s="115"/>
      <c r="AH447" s="115"/>
    </row>
    <row r="448" spans="1:34" s="5" customFormat="1" ht="12">
      <c r="A448" s="3" t="s">
        <v>236</v>
      </c>
      <c r="B448" s="136">
        <v>275000</v>
      </c>
      <c r="C448" s="136">
        <v>275000</v>
      </c>
      <c r="D448" s="136">
        <v>275000</v>
      </c>
      <c r="E448" s="136">
        <v>275000</v>
      </c>
      <c r="F448" s="136">
        <v>275000</v>
      </c>
      <c r="G448" s="136">
        <v>275000</v>
      </c>
      <c r="H448" s="136">
        <v>275000</v>
      </c>
      <c r="I448" s="136">
        <v>275000</v>
      </c>
      <c r="J448" s="136">
        <v>275000</v>
      </c>
      <c r="K448" s="136">
        <v>275000</v>
      </c>
      <c r="L448" s="136">
        <v>275000</v>
      </c>
      <c r="M448" s="136">
        <v>275000</v>
      </c>
      <c r="N448" s="4">
        <f aca="true" t="shared" si="100" ref="N448:N548">SUM(B448:M448)</f>
        <v>3300000</v>
      </c>
      <c r="P448" s="76"/>
      <c r="Q448" s="80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  <c r="AC448" s="114"/>
      <c r="AD448" s="114"/>
      <c r="AE448" s="114"/>
      <c r="AF448" s="114"/>
      <c r="AG448" s="114"/>
      <c r="AH448" s="114"/>
    </row>
    <row r="449" spans="1:34" s="5" customFormat="1" ht="12">
      <c r="A449" s="3" t="s">
        <v>964</v>
      </c>
      <c r="B449" s="136">
        <v>5600</v>
      </c>
      <c r="C449" s="136">
        <v>5600</v>
      </c>
      <c r="D449" s="136">
        <v>5600</v>
      </c>
      <c r="E449" s="136">
        <v>5600</v>
      </c>
      <c r="F449" s="136">
        <v>5600</v>
      </c>
      <c r="G449" s="136">
        <v>5600</v>
      </c>
      <c r="H449" s="136">
        <v>5600</v>
      </c>
      <c r="I449" s="136">
        <v>5600</v>
      </c>
      <c r="J449" s="136">
        <v>5600</v>
      </c>
      <c r="K449" s="136">
        <v>5600</v>
      </c>
      <c r="L449" s="136">
        <v>5600</v>
      </c>
      <c r="M449" s="136">
        <v>5600</v>
      </c>
      <c r="N449" s="4">
        <f t="shared" si="100"/>
        <v>67200</v>
      </c>
      <c r="P449" s="76"/>
      <c r="Q449" s="80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  <c r="AC449" s="114"/>
      <c r="AD449" s="114"/>
      <c r="AE449" s="114"/>
      <c r="AF449" s="114"/>
      <c r="AG449" s="114"/>
      <c r="AH449" s="114"/>
    </row>
    <row r="450" spans="1:34" s="5" customFormat="1" ht="12" hidden="1">
      <c r="A450" s="3" t="s">
        <v>599</v>
      </c>
      <c r="B450" s="136"/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  <c r="M450" s="136"/>
      <c r="N450" s="4">
        <f>SUM(B450:M450)</f>
        <v>0</v>
      </c>
      <c r="P450" s="76"/>
      <c r="Q450" s="80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  <c r="AC450" s="114"/>
      <c r="AD450" s="114"/>
      <c r="AE450" s="114"/>
      <c r="AF450" s="114"/>
      <c r="AG450" s="114"/>
      <c r="AH450" s="114"/>
    </row>
    <row r="451" spans="1:34" s="5" customFormat="1" ht="12">
      <c r="A451" s="3" t="s">
        <v>733</v>
      </c>
      <c r="B451" s="136"/>
      <c r="C451" s="136"/>
      <c r="D451" s="136"/>
      <c r="E451" s="136"/>
      <c r="F451" s="136"/>
      <c r="G451" s="136"/>
      <c r="H451" s="136">
        <f>(7*700)*4</f>
        <v>19600</v>
      </c>
      <c r="I451" s="136">
        <f>(7*700)*4</f>
        <v>19600</v>
      </c>
      <c r="J451" s="136">
        <f>+(7*700)*3</f>
        <v>14700</v>
      </c>
      <c r="K451" s="136">
        <f>+(7*700)*4</f>
        <v>19600</v>
      </c>
      <c r="L451" s="136">
        <f>+(7*700)*3</f>
        <v>14700</v>
      </c>
      <c r="M451" s="136"/>
      <c r="N451" s="4">
        <f>SUM(B451:M451)</f>
        <v>88200</v>
      </c>
      <c r="O451" s="76">
        <f>SUM(N451:N455)</f>
        <v>456700.07999999996</v>
      </c>
      <c r="P451" s="76"/>
      <c r="Q451" s="80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4"/>
      <c r="AF451" s="114"/>
      <c r="AG451" s="114"/>
      <c r="AH451" s="114"/>
    </row>
    <row r="452" spans="1:34" s="5" customFormat="1" ht="12">
      <c r="A452" s="3" t="s">
        <v>731</v>
      </c>
      <c r="B452" s="136"/>
      <c r="C452" s="136"/>
      <c r="D452" s="136"/>
      <c r="E452" s="136">
        <v>10000</v>
      </c>
      <c r="F452" s="136">
        <v>6000</v>
      </c>
      <c r="G452" s="136"/>
      <c r="H452" s="136">
        <f>3000+3700+4200+3000+3700</f>
        <v>17600</v>
      </c>
      <c r="I452" s="136"/>
      <c r="J452" s="136"/>
      <c r="K452" s="136"/>
      <c r="L452" s="136"/>
      <c r="M452" s="136"/>
      <c r="N452" s="4">
        <f t="shared" si="100"/>
        <v>33600</v>
      </c>
      <c r="P452" s="76"/>
      <c r="Q452" s="80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4"/>
      <c r="AF452" s="114"/>
      <c r="AG452" s="114"/>
      <c r="AH452" s="114"/>
    </row>
    <row r="453" spans="1:34" s="5" customFormat="1" ht="12">
      <c r="A453" s="3" t="s">
        <v>732</v>
      </c>
      <c r="B453" s="136">
        <v>12558.34</v>
      </c>
      <c r="C453" s="136">
        <v>12558.34</v>
      </c>
      <c r="D453" s="136">
        <v>12558.34</v>
      </c>
      <c r="E453" s="136">
        <v>12558.34</v>
      </c>
      <c r="F453" s="136">
        <v>12558.34</v>
      </c>
      <c r="G453" s="136">
        <v>12558.34</v>
      </c>
      <c r="H453" s="136">
        <v>12558.34</v>
      </c>
      <c r="I453" s="136">
        <v>12558.34</v>
      </c>
      <c r="J453" s="136">
        <v>12558.34</v>
      </c>
      <c r="K453" s="136">
        <v>12558.34</v>
      </c>
      <c r="L453" s="136">
        <v>12558.34</v>
      </c>
      <c r="M453" s="136">
        <v>12558.34</v>
      </c>
      <c r="N453" s="4">
        <f t="shared" si="100"/>
        <v>150700.08</v>
      </c>
      <c r="P453" s="76"/>
      <c r="Q453" s="80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  <c r="AC453" s="114"/>
      <c r="AD453" s="114"/>
      <c r="AE453" s="114"/>
      <c r="AF453" s="114"/>
      <c r="AG453" s="114"/>
      <c r="AH453" s="114"/>
    </row>
    <row r="454" spans="1:34" s="5" customFormat="1" ht="12">
      <c r="A454" s="3" t="s">
        <v>738</v>
      </c>
      <c r="B454" s="136"/>
      <c r="C454" s="136">
        <f>2100*2+3500</f>
        <v>7700</v>
      </c>
      <c r="D454" s="136">
        <f>12000+2800</f>
        <v>14800</v>
      </c>
      <c r="E454" s="136"/>
      <c r="F454" s="136">
        <f>14000</f>
        <v>14000</v>
      </c>
      <c r="G454" s="136">
        <f>2100*4</f>
        <v>8400</v>
      </c>
      <c r="H454" s="136">
        <f>2100*8</f>
        <v>16800</v>
      </c>
      <c r="I454" s="136">
        <f>2100*8</f>
        <v>16800</v>
      </c>
      <c r="J454" s="136">
        <f>2100*8</f>
        <v>16800</v>
      </c>
      <c r="K454" s="136">
        <f>2100*6</f>
        <v>12600</v>
      </c>
      <c r="L454" s="136">
        <f>2100*2</f>
        <v>4200</v>
      </c>
      <c r="M454" s="136"/>
      <c r="N454" s="4">
        <f t="shared" si="100"/>
        <v>112100</v>
      </c>
      <c r="P454" s="76"/>
      <c r="Q454" s="80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  <c r="AC454" s="114"/>
      <c r="AD454" s="114"/>
      <c r="AE454" s="114"/>
      <c r="AF454" s="114"/>
      <c r="AG454" s="114"/>
      <c r="AH454" s="114"/>
    </row>
    <row r="455" spans="1:34" s="5" customFormat="1" ht="12">
      <c r="A455" s="3" t="s">
        <v>749</v>
      </c>
      <c r="B455" s="136">
        <v>4900</v>
      </c>
      <c r="C455" s="136">
        <v>4900</v>
      </c>
      <c r="D455" s="136">
        <f>2100+5600</f>
        <v>7700</v>
      </c>
      <c r="E455" s="136">
        <f>5600+1400</f>
        <v>7000</v>
      </c>
      <c r="F455" s="136">
        <v>5600</v>
      </c>
      <c r="G455" s="136">
        <v>5600</v>
      </c>
      <c r="H455" s="136">
        <v>5600</v>
      </c>
      <c r="I455" s="136">
        <v>5600</v>
      </c>
      <c r="J455" s="136">
        <f>1400+5600</f>
        <v>7000</v>
      </c>
      <c r="K455" s="136">
        <v>5600</v>
      </c>
      <c r="L455" s="136">
        <f>1400+5600</f>
        <v>7000</v>
      </c>
      <c r="M455" s="136">
        <v>5600</v>
      </c>
      <c r="N455" s="4">
        <f t="shared" si="100"/>
        <v>72100</v>
      </c>
      <c r="P455" s="76"/>
      <c r="Q455" s="80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  <c r="AC455" s="114"/>
      <c r="AD455" s="114"/>
      <c r="AE455" s="114"/>
      <c r="AF455" s="114"/>
      <c r="AG455" s="114"/>
      <c r="AH455" s="114"/>
    </row>
    <row r="456" spans="1:34" s="5" customFormat="1" ht="12" customHeight="1" hidden="1">
      <c r="A456" s="3" t="s">
        <v>237</v>
      </c>
      <c r="B456" s="136"/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  <c r="M456" s="136"/>
      <c r="N456" s="4">
        <f t="shared" si="100"/>
        <v>0</v>
      </c>
      <c r="P456" s="76"/>
      <c r="Q456" s="80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  <c r="AC456" s="114"/>
      <c r="AD456" s="114"/>
      <c r="AE456" s="114"/>
      <c r="AF456" s="114"/>
      <c r="AG456" s="114"/>
      <c r="AH456" s="114"/>
    </row>
    <row r="457" spans="1:34" s="5" customFormat="1" ht="12" customHeight="1" hidden="1">
      <c r="A457" s="3" t="s">
        <v>238</v>
      </c>
      <c r="B457" s="136"/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  <c r="M457" s="136"/>
      <c r="N457" s="4">
        <f t="shared" si="100"/>
        <v>0</v>
      </c>
      <c r="P457" s="76"/>
      <c r="Q457" s="80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  <c r="AC457" s="114"/>
      <c r="AD457" s="114"/>
      <c r="AE457" s="114"/>
      <c r="AF457" s="114"/>
      <c r="AG457" s="114"/>
      <c r="AH457" s="114"/>
    </row>
    <row r="458" spans="1:34" s="5" customFormat="1" ht="12" customHeight="1" hidden="1">
      <c r="A458" s="3" t="s">
        <v>239</v>
      </c>
      <c r="B458" s="136"/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  <c r="M458" s="136"/>
      <c r="N458" s="4">
        <f t="shared" si="100"/>
        <v>0</v>
      </c>
      <c r="P458" s="76"/>
      <c r="Q458" s="80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  <c r="AC458" s="114"/>
      <c r="AD458" s="114"/>
      <c r="AE458" s="114"/>
      <c r="AF458" s="114"/>
      <c r="AG458" s="114"/>
      <c r="AH458" s="114"/>
    </row>
    <row r="459" spans="1:34" s="5" customFormat="1" ht="12" customHeight="1" hidden="1">
      <c r="A459" s="3" t="s">
        <v>240</v>
      </c>
      <c r="B459" s="136"/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  <c r="M459" s="136"/>
      <c r="N459" s="4">
        <f t="shared" si="100"/>
        <v>0</v>
      </c>
      <c r="P459" s="76"/>
      <c r="Q459" s="80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  <c r="AC459" s="114"/>
      <c r="AD459" s="114"/>
      <c r="AE459" s="114"/>
      <c r="AF459" s="114"/>
      <c r="AG459" s="114"/>
      <c r="AH459" s="114"/>
    </row>
    <row r="460" spans="1:34" s="5" customFormat="1" ht="12" hidden="1">
      <c r="A460" s="3" t="s">
        <v>241</v>
      </c>
      <c r="B460" s="136"/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  <c r="M460" s="136"/>
      <c r="N460" s="4">
        <f t="shared" si="100"/>
        <v>0</v>
      </c>
      <c r="P460" s="76"/>
      <c r="Q460" s="80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  <c r="AC460" s="114"/>
      <c r="AD460" s="114"/>
      <c r="AE460" s="114"/>
      <c r="AF460" s="114"/>
      <c r="AG460" s="114"/>
      <c r="AH460" s="114"/>
    </row>
    <row r="461" spans="1:34" s="5" customFormat="1" ht="12" customHeight="1" hidden="1">
      <c r="A461" s="3" t="s">
        <v>242</v>
      </c>
      <c r="B461" s="136"/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  <c r="M461" s="136"/>
      <c r="N461" s="4">
        <f t="shared" si="100"/>
        <v>0</v>
      </c>
      <c r="P461" s="76"/>
      <c r="Q461" s="80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  <c r="AC461" s="114"/>
      <c r="AD461" s="114"/>
      <c r="AE461" s="114"/>
      <c r="AF461" s="114"/>
      <c r="AG461" s="114"/>
      <c r="AH461" s="114"/>
    </row>
    <row r="462" spans="1:34" s="5" customFormat="1" ht="12" customHeight="1" hidden="1">
      <c r="A462" s="3" t="s">
        <v>243</v>
      </c>
      <c r="B462" s="136"/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  <c r="M462" s="136"/>
      <c r="N462" s="4">
        <f t="shared" si="100"/>
        <v>0</v>
      </c>
      <c r="P462" s="76"/>
      <c r="Q462" s="80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  <c r="AC462" s="114"/>
      <c r="AD462" s="114"/>
      <c r="AE462" s="114"/>
      <c r="AF462" s="114"/>
      <c r="AG462" s="114"/>
      <c r="AH462" s="114"/>
    </row>
    <row r="463" spans="1:34" s="5" customFormat="1" ht="12" customHeight="1">
      <c r="A463" s="3" t="s">
        <v>961</v>
      </c>
      <c r="B463" s="136">
        <v>24655.56</v>
      </c>
      <c r="C463" s="136">
        <v>24655.56</v>
      </c>
      <c r="D463" s="136">
        <v>24655.56</v>
      </c>
      <c r="E463" s="136">
        <v>24655.56</v>
      </c>
      <c r="F463" s="136">
        <v>24655.56</v>
      </c>
      <c r="G463" s="136">
        <v>24655.56</v>
      </c>
      <c r="H463" s="136">
        <v>24655.56</v>
      </c>
      <c r="I463" s="136">
        <v>24655.56</v>
      </c>
      <c r="J463" s="136">
        <v>24655.56</v>
      </c>
      <c r="K463" s="136"/>
      <c r="L463" s="136"/>
      <c r="M463" s="136"/>
      <c r="N463" s="4">
        <f t="shared" si="100"/>
        <v>221900.04</v>
      </c>
      <c r="P463" s="76"/>
      <c r="Q463" s="80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  <c r="AC463" s="114"/>
      <c r="AD463" s="114"/>
      <c r="AE463" s="114"/>
      <c r="AF463" s="114"/>
      <c r="AG463" s="114"/>
      <c r="AH463" s="114"/>
    </row>
    <row r="464" spans="1:34" s="5" customFormat="1" ht="12" customHeight="1">
      <c r="A464" s="3" t="s">
        <v>960</v>
      </c>
      <c r="B464" s="136"/>
      <c r="C464" s="136"/>
      <c r="D464" s="136"/>
      <c r="E464" s="136"/>
      <c r="F464" s="136"/>
      <c r="G464" s="136"/>
      <c r="H464" s="136"/>
      <c r="I464" s="136"/>
      <c r="J464" s="136"/>
      <c r="K464" s="136">
        <v>96300</v>
      </c>
      <c r="L464" s="136">
        <v>96300</v>
      </c>
      <c r="M464" s="136"/>
      <c r="N464" s="4">
        <f t="shared" si="100"/>
        <v>192600</v>
      </c>
      <c r="P464" s="76"/>
      <c r="Q464" s="80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  <c r="AC464" s="114"/>
      <c r="AD464" s="114"/>
      <c r="AE464" s="114"/>
      <c r="AF464" s="114"/>
      <c r="AG464" s="114"/>
      <c r="AH464" s="114"/>
    </row>
    <row r="465" spans="1:34" s="5" customFormat="1" ht="12" customHeight="1" hidden="1">
      <c r="A465" s="3" t="s">
        <v>244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  <c r="M465" s="136"/>
      <c r="N465" s="4">
        <f t="shared" si="100"/>
        <v>0</v>
      </c>
      <c r="P465" s="76"/>
      <c r="Q465" s="80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  <c r="AC465" s="114"/>
      <c r="AD465" s="114"/>
      <c r="AE465" s="114"/>
      <c r="AF465" s="114"/>
      <c r="AG465" s="114"/>
      <c r="AH465" s="114"/>
    </row>
    <row r="466" spans="1:34" s="5" customFormat="1" ht="12" customHeight="1" hidden="1">
      <c r="A466" s="3" t="s">
        <v>245</v>
      </c>
      <c r="B466" s="136"/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  <c r="M466" s="136"/>
      <c r="N466" s="4">
        <f t="shared" si="100"/>
        <v>0</v>
      </c>
      <c r="P466" s="76"/>
      <c r="Q466" s="80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  <c r="AC466" s="114"/>
      <c r="AD466" s="114"/>
      <c r="AE466" s="114"/>
      <c r="AF466" s="114"/>
      <c r="AG466" s="114"/>
      <c r="AH466" s="114"/>
    </row>
    <row r="467" spans="1:34" s="5" customFormat="1" ht="12" customHeight="1" hidden="1">
      <c r="A467" s="3" t="s">
        <v>246</v>
      </c>
      <c r="B467" s="136"/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  <c r="M467" s="136"/>
      <c r="N467" s="4">
        <f t="shared" si="100"/>
        <v>0</v>
      </c>
      <c r="P467" s="76"/>
      <c r="Q467" s="80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  <c r="AC467" s="114"/>
      <c r="AD467" s="114"/>
      <c r="AE467" s="114"/>
      <c r="AF467" s="114"/>
      <c r="AG467" s="114"/>
      <c r="AH467" s="114"/>
    </row>
    <row r="468" spans="1:34" s="5" customFormat="1" ht="12" customHeight="1" hidden="1">
      <c r="A468" s="3" t="s">
        <v>247</v>
      </c>
      <c r="B468" s="136"/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4">
        <f t="shared" si="100"/>
        <v>0</v>
      </c>
      <c r="P468" s="76"/>
      <c r="Q468" s="80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  <c r="AC468" s="114"/>
      <c r="AD468" s="114"/>
      <c r="AE468" s="114"/>
      <c r="AF468" s="114"/>
      <c r="AG468" s="114"/>
      <c r="AH468" s="114"/>
    </row>
    <row r="469" spans="1:34" s="5" customFormat="1" ht="12" customHeight="1">
      <c r="A469" s="3" t="s">
        <v>938</v>
      </c>
      <c r="B469" s="136">
        <v>17500</v>
      </c>
      <c r="C469" s="136">
        <v>17500</v>
      </c>
      <c r="D469" s="136">
        <v>17500</v>
      </c>
      <c r="E469" s="136">
        <v>17500</v>
      </c>
      <c r="F469" s="136">
        <v>17500</v>
      </c>
      <c r="G469" s="136">
        <v>17500</v>
      </c>
      <c r="H469" s="136">
        <v>17500</v>
      </c>
      <c r="I469" s="136">
        <v>17500</v>
      </c>
      <c r="J469" s="136">
        <v>17500</v>
      </c>
      <c r="K469" s="136">
        <v>17500</v>
      </c>
      <c r="L469" s="136">
        <v>17500</v>
      </c>
      <c r="M469" s="136">
        <v>17500</v>
      </c>
      <c r="N469" s="4">
        <f t="shared" si="100"/>
        <v>210000</v>
      </c>
      <c r="P469" s="76"/>
      <c r="Q469" s="80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  <c r="AC469" s="114"/>
      <c r="AD469" s="114"/>
      <c r="AE469" s="114"/>
      <c r="AF469" s="114"/>
      <c r="AG469" s="114"/>
      <c r="AH469" s="114"/>
    </row>
    <row r="470" spans="1:34" s="160" customFormat="1" ht="12" customHeight="1">
      <c r="A470" s="26" t="s">
        <v>833</v>
      </c>
      <c r="B470" s="158">
        <v>5833.34</v>
      </c>
      <c r="C470" s="158">
        <v>5833.34</v>
      </c>
      <c r="D470" s="158">
        <v>5833.34</v>
      </c>
      <c r="E470" s="158">
        <v>5833.34</v>
      </c>
      <c r="F470" s="158">
        <v>5833.34</v>
      </c>
      <c r="G470" s="158">
        <v>5833.34</v>
      </c>
      <c r="H470" s="158">
        <v>5833.34</v>
      </c>
      <c r="I470" s="158">
        <v>5833.34</v>
      </c>
      <c r="J470" s="158">
        <v>5833.34</v>
      </c>
      <c r="K470" s="158">
        <v>5833.34</v>
      </c>
      <c r="L470" s="158">
        <v>5833.34</v>
      </c>
      <c r="M470" s="158">
        <v>5833.34</v>
      </c>
      <c r="N470" s="4">
        <f t="shared" si="100"/>
        <v>70000.07999999999</v>
      </c>
      <c r="P470" s="124"/>
      <c r="Q470" s="161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</row>
    <row r="471" spans="1:34" s="5" customFormat="1" ht="12" customHeight="1">
      <c r="A471" s="3" t="s">
        <v>939</v>
      </c>
      <c r="B471" s="136">
        <v>14933.34</v>
      </c>
      <c r="C471" s="136">
        <v>14933.34</v>
      </c>
      <c r="D471" s="136">
        <v>14933.34</v>
      </c>
      <c r="E471" s="136">
        <v>14933.34</v>
      </c>
      <c r="F471" s="136">
        <v>14933.34</v>
      </c>
      <c r="G471" s="136">
        <v>14933.34</v>
      </c>
      <c r="H471" s="136">
        <v>14933.34</v>
      </c>
      <c r="I471" s="136">
        <v>14933.34</v>
      </c>
      <c r="J471" s="136">
        <v>14933.34</v>
      </c>
      <c r="K471" s="136">
        <v>14933.34</v>
      </c>
      <c r="L471" s="136">
        <v>14933.34</v>
      </c>
      <c r="M471" s="136">
        <v>14933.34</v>
      </c>
      <c r="N471" s="4">
        <f t="shared" si="100"/>
        <v>179200.08</v>
      </c>
      <c r="P471" s="76"/>
      <c r="Q471" s="80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  <c r="AC471" s="114"/>
      <c r="AD471" s="114"/>
      <c r="AE471" s="114"/>
      <c r="AF471" s="114"/>
      <c r="AG471" s="114"/>
      <c r="AH471" s="114"/>
    </row>
    <row r="472" spans="1:34" s="5" customFormat="1" ht="12" customHeight="1">
      <c r="A472" s="3" t="s">
        <v>940</v>
      </c>
      <c r="B472" s="136">
        <v>9566.67</v>
      </c>
      <c r="C472" s="136">
        <v>9566.67</v>
      </c>
      <c r="D472" s="136">
        <v>9566.67</v>
      </c>
      <c r="E472" s="136">
        <v>9566.67</v>
      </c>
      <c r="F472" s="136">
        <v>9566.67</v>
      </c>
      <c r="G472" s="136">
        <v>9566.67</v>
      </c>
      <c r="H472" s="136">
        <v>9566.67</v>
      </c>
      <c r="I472" s="136">
        <v>9566.67</v>
      </c>
      <c r="J472" s="136">
        <v>9566.67</v>
      </c>
      <c r="K472" s="136">
        <v>9566.67</v>
      </c>
      <c r="L472" s="136">
        <v>9566.67</v>
      </c>
      <c r="M472" s="136">
        <v>9566.67</v>
      </c>
      <c r="N472" s="4">
        <f t="shared" si="100"/>
        <v>114800.04</v>
      </c>
      <c r="P472" s="76"/>
      <c r="Q472" s="80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  <c r="AC472" s="114"/>
      <c r="AD472" s="114"/>
      <c r="AE472" s="114"/>
      <c r="AF472" s="114"/>
      <c r="AG472" s="114"/>
      <c r="AH472" s="114"/>
    </row>
    <row r="473" spans="1:34" s="5" customFormat="1" ht="12" customHeight="1">
      <c r="A473" s="3" t="s">
        <v>944</v>
      </c>
      <c r="B473" s="136">
        <v>7916.67</v>
      </c>
      <c r="C473" s="136">
        <v>7916.67</v>
      </c>
      <c r="D473" s="136">
        <v>7916.67</v>
      </c>
      <c r="E473" s="136">
        <v>7916.67</v>
      </c>
      <c r="F473" s="136">
        <v>7916.67</v>
      </c>
      <c r="G473" s="136">
        <v>7916.67</v>
      </c>
      <c r="H473" s="136">
        <v>7916.67</v>
      </c>
      <c r="I473" s="136">
        <v>7916.67</v>
      </c>
      <c r="J473" s="136">
        <v>7916.67</v>
      </c>
      <c r="K473" s="136">
        <v>7916.67</v>
      </c>
      <c r="L473" s="136">
        <v>7916.67</v>
      </c>
      <c r="M473" s="136">
        <v>7916.67</v>
      </c>
      <c r="N473" s="4">
        <f t="shared" si="100"/>
        <v>95000.04</v>
      </c>
      <c r="P473" s="76"/>
      <c r="Q473" s="80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  <c r="AC473" s="114"/>
      <c r="AD473" s="114"/>
      <c r="AE473" s="114"/>
      <c r="AF473" s="114"/>
      <c r="AG473" s="114"/>
      <c r="AH473" s="114"/>
    </row>
    <row r="474" spans="1:34" s="5" customFormat="1" ht="12" customHeight="1">
      <c r="A474" s="3" t="s">
        <v>945</v>
      </c>
      <c r="B474" s="136">
        <v>108300</v>
      </c>
      <c r="C474" s="136">
        <v>108300</v>
      </c>
      <c r="D474" s="136">
        <v>108300</v>
      </c>
      <c r="E474" s="136">
        <v>108300</v>
      </c>
      <c r="F474" s="136">
        <v>108300</v>
      </c>
      <c r="G474" s="136">
        <v>108300</v>
      </c>
      <c r="H474" s="136">
        <v>108300</v>
      </c>
      <c r="I474" s="136">
        <v>108300</v>
      </c>
      <c r="J474" s="136">
        <v>108300</v>
      </c>
      <c r="K474" s="136">
        <v>108300</v>
      </c>
      <c r="L474" s="136">
        <v>108300</v>
      </c>
      <c r="M474" s="136">
        <v>108300</v>
      </c>
      <c r="N474" s="4">
        <f t="shared" si="100"/>
        <v>1299600</v>
      </c>
      <c r="P474" s="76"/>
      <c r="Q474" s="80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  <c r="AC474" s="114"/>
      <c r="AD474" s="114"/>
      <c r="AE474" s="114"/>
      <c r="AF474" s="114"/>
      <c r="AG474" s="114"/>
      <c r="AH474" s="114"/>
    </row>
    <row r="475" spans="1:34" s="5" customFormat="1" ht="12" customHeight="1">
      <c r="A475" s="3" t="s">
        <v>946</v>
      </c>
      <c r="B475" s="136">
        <v>6966.67</v>
      </c>
      <c r="C475" s="136">
        <v>6966.67</v>
      </c>
      <c r="D475" s="136">
        <v>6966.67</v>
      </c>
      <c r="E475" s="136">
        <v>6966.67</v>
      </c>
      <c r="F475" s="136">
        <v>6966.67</v>
      </c>
      <c r="G475" s="136">
        <v>6966.67</v>
      </c>
      <c r="H475" s="136">
        <v>6966.67</v>
      </c>
      <c r="I475" s="136">
        <v>6966.67</v>
      </c>
      <c r="J475" s="136">
        <v>6966.67</v>
      </c>
      <c r="K475" s="136">
        <v>6966.67</v>
      </c>
      <c r="L475" s="136">
        <v>6966.67</v>
      </c>
      <c r="M475" s="136">
        <v>6966.67</v>
      </c>
      <c r="N475" s="4">
        <f t="shared" si="100"/>
        <v>83600.04</v>
      </c>
      <c r="P475" s="76"/>
      <c r="Q475" s="80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  <c r="AC475" s="114"/>
      <c r="AD475" s="114"/>
      <c r="AE475" s="114"/>
      <c r="AF475" s="114"/>
      <c r="AG475" s="114"/>
      <c r="AH475" s="114"/>
    </row>
    <row r="476" spans="1:34" s="5" customFormat="1" ht="12" customHeight="1">
      <c r="A476" s="3" t="s">
        <v>947</v>
      </c>
      <c r="B476" s="136">
        <v>6966.67</v>
      </c>
      <c r="C476" s="136">
        <v>6966.67</v>
      </c>
      <c r="D476" s="136">
        <v>6966.67</v>
      </c>
      <c r="E476" s="136">
        <v>6966.67</v>
      </c>
      <c r="F476" s="136">
        <v>6966.67</v>
      </c>
      <c r="G476" s="136">
        <v>6966.67</v>
      </c>
      <c r="H476" s="136">
        <v>6966.67</v>
      </c>
      <c r="I476" s="136">
        <v>6966.67</v>
      </c>
      <c r="J476" s="136">
        <v>6966.67</v>
      </c>
      <c r="K476" s="136">
        <v>6966.67</v>
      </c>
      <c r="L476" s="136">
        <v>6966.67</v>
      </c>
      <c r="M476" s="136">
        <v>6966.67</v>
      </c>
      <c r="N476" s="4">
        <f t="shared" si="100"/>
        <v>83600.04</v>
      </c>
      <c r="P476" s="76"/>
      <c r="Q476" s="80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  <c r="AC476" s="114"/>
      <c r="AD476" s="114"/>
      <c r="AE476" s="114"/>
      <c r="AF476" s="114"/>
      <c r="AG476" s="114"/>
      <c r="AH476" s="114"/>
    </row>
    <row r="477" spans="1:34" s="5" customFormat="1" ht="12" customHeight="1" hidden="1">
      <c r="A477" s="3" t="s">
        <v>248</v>
      </c>
      <c r="B477" s="136"/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4">
        <f t="shared" si="100"/>
        <v>0</v>
      </c>
      <c r="P477" s="76"/>
      <c r="Q477" s="80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  <c r="AC477" s="114"/>
      <c r="AD477" s="114"/>
      <c r="AE477" s="114"/>
      <c r="AF477" s="114"/>
      <c r="AG477" s="114"/>
      <c r="AH477" s="114"/>
    </row>
    <row r="478" spans="1:34" s="5" customFormat="1" ht="12" customHeight="1" hidden="1">
      <c r="A478" s="3" t="s">
        <v>249</v>
      </c>
      <c r="B478" s="136"/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  <c r="M478" s="136"/>
      <c r="N478" s="4">
        <f t="shared" si="100"/>
        <v>0</v>
      </c>
      <c r="P478" s="76"/>
      <c r="Q478" s="80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4"/>
      <c r="AF478" s="114"/>
      <c r="AG478" s="114"/>
      <c r="AH478" s="114"/>
    </row>
    <row r="479" spans="1:34" s="5" customFormat="1" ht="12" customHeight="1">
      <c r="A479" s="3" t="s">
        <v>778</v>
      </c>
      <c r="B479" s="136">
        <v>61666.67</v>
      </c>
      <c r="C479" s="136">
        <v>61666.67</v>
      </c>
      <c r="D479" s="136">
        <v>61666.67</v>
      </c>
      <c r="E479" s="136">
        <v>61666.67</v>
      </c>
      <c r="F479" s="136">
        <v>61666.67</v>
      </c>
      <c r="G479" s="136">
        <v>61666.67</v>
      </c>
      <c r="H479" s="136">
        <v>61666.67</v>
      </c>
      <c r="I479" s="136">
        <v>61666.67</v>
      </c>
      <c r="J479" s="136">
        <v>61666.67</v>
      </c>
      <c r="K479" s="136">
        <v>61666.67</v>
      </c>
      <c r="L479" s="136">
        <v>61666.67</v>
      </c>
      <c r="M479" s="136">
        <v>61666.67</v>
      </c>
      <c r="N479" s="4">
        <f t="shared" si="100"/>
        <v>740000.04</v>
      </c>
      <c r="P479" s="76"/>
      <c r="Q479" s="80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4"/>
      <c r="AF479" s="114"/>
      <c r="AG479" s="114"/>
      <c r="AH479" s="114"/>
    </row>
    <row r="480" spans="1:34" s="5" customFormat="1" ht="12" customHeight="1">
      <c r="A480" s="3" t="s">
        <v>779</v>
      </c>
      <c r="B480" s="136">
        <v>9083.34</v>
      </c>
      <c r="C480" s="136">
        <v>9083.34</v>
      </c>
      <c r="D480" s="136">
        <v>9083.34</v>
      </c>
      <c r="E480" s="136">
        <v>9083.34</v>
      </c>
      <c r="F480" s="136">
        <v>9083.34</v>
      </c>
      <c r="G480" s="136">
        <v>9083.34</v>
      </c>
      <c r="H480" s="136">
        <v>9083.34</v>
      </c>
      <c r="I480" s="136">
        <v>9083.34</v>
      </c>
      <c r="J480" s="136">
        <v>9083.34</v>
      </c>
      <c r="K480" s="136">
        <v>9083.34</v>
      </c>
      <c r="L480" s="136">
        <v>9083.34</v>
      </c>
      <c r="M480" s="136">
        <v>9083.34</v>
      </c>
      <c r="N480" s="4">
        <f t="shared" si="100"/>
        <v>109000.07999999997</v>
      </c>
      <c r="P480" s="76"/>
      <c r="Q480" s="80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4"/>
      <c r="AD480" s="114"/>
      <c r="AE480" s="114"/>
      <c r="AF480" s="114"/>
      <c r="AG480" s="114"/>
      <c r="AH480" s="114"/>
    </row>
    <row r="481" spans="1:34" s="5" customFormat="1" ht="12" customHeight="1">
      <c r="A481" s="3" t="s">
        <v>780</v>
      </c>
      <c r="B481" s="136">
        <v>20933.34</v>
      </c>
      <c r="C481" s="136">
        <v>20933.34</v>
      </c>
      <c r="D481" s="136">
        <v>20933.34</v>
      </c>
      <c r="E481" s="136">
        <v>20933.34</v>
      </c>
      <c r="F481" s="136">
        <v>20933.34</v>
      </c>
      <c r="G481" s="136">
        <v>20933.34</v>
      </c>
      <c r="H481" s="136">
        <v>20933.34</v>
      </c>
      <c r="I481" s="136">
        <v>20933.34</v>
      </c>
      <c r="J481" s="136">
        <v>20933.34</v>
      </c>
      <c r="K481" s="136">
        <v>20933.34</v>
      </c>
      <c r="L481" s="136">
        <v>20933.34</v>
      </c>
      <c r="M481" s="136">
        <v>20933.34</v>
      </c>
      <c r="N481" s="4">
        <f t="shared" si="100"/>
        <v>251200.08</v>
      </c>
      <c r="P481" s="76"/>
      <c r="Q481" s="80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4"/>
      <c r="AD481" s="114"/>
      <c r="AE481" s="114"/>
      <c r="AF481" s="114"/>
      <c r="AG481" s="114"/>
      <c r="AH481" s="114"/>
    </row>
    <row r="482" spans="1:34" s="5" customFormat="1" ht="12" customHeight="1">
      <c r="A482" s="3" t="s">
        <v>777</v>
      </c>
      <c r="B482" s="136">
        <v>62800</v>
      </c>
      <c r="C482" s="136">
        <v>62800</v>
      </c>
      <c r="D482" s="136">
        <v>62800</v>
      </c>
      <c r="E482" s="136">
        <v>62800</v>
      </c>
      <c r="F482" s="136">
        <v>62800</v>
      </c>
      <c r="G482" s="136">
        <v>62800</v>
      </c>
      <c r="H482" s="136">
        <v>62800</v>
      </c>
      <c r="I482" s="136">
        <v>62800</v>
      </c>
      <c r="J482" s="136">
        <v>62800</v>
      </c>
      <c r="K482" s="136">
        <v>62800</v>
      </c>
      <c r="L482" s="136">
        <v>62800</v>
      </c>
      <c r="M482" s="136">
        <v>62800</v>
      </c>
      <c r="N482" s="4">
        <f t="shared" si="100"/>
        <v>753600</v>
      </c>
      <c r="P482" s="76"/>
      <c r="Q482" s="80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  <c r="AC482" s="114"/>
      <c r="AD482" s="114"/>
      <c r="AE482" s="114"/>
      <c r="AF482" s="114"/>
      <c r="AG482" s="114"/>
      <c r="AH482" s="114"/>
    </row>
    <row r="483" spans="1:34" s="5" customFormat="1" ht="12" customHeight="1">
      <c r="A483" s="3" t="s">
        <v>800</v>
      </c>
      <c r="B483" s="136">
        <v>15416.67</v>
      </c>
      <c r="C483" s="136">
        <v>15416.67</v>
      </c>
      <c r="D483" s="136">
        <v>15416.67</v>
      </c>
      <c r="E483" s="136">
        <v>15416.67</v>
      </c>
      <c r="F483" s="136">
        <v>15416.67</v>
      </c>
      <c r="G483" s="136">
        <v>15416.67</v>
      </c>
      <c r="H483" s="136">
        <v>15416.67</v>
      </c>
      <c r="I483" s="136">
        <v>15416.67</v>
      </c>
      <c r="J483" s="136">
        <v>15416.67</v>
      </c>
      <c r="K483" s="136">
        <v>15416.67</v>
      </c>
      <c r="L483" s="136">
        <v>15416.67</v>
      </c>
      <c r="M483" s="136">
        <v>15416.67</v>
      </c>
      <c r="N483" s="4">
        <f t="shared" si="100"/>
        <v>185000.04000000004</v>
      </c>
      <c r="P483" s="76"/>
      <c r="Q483" s="80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  <c r="AC483" s="114"/>
      <c r="AD483" s="114"/>
      <c r="AE483" s="114"/>
      <c r="AF483" s="114"/>
      <c r="AG483" s="114"/>
      <c r="AH483" s="114"/>
    </row>
    <row r="484" spans="1:34" s="5" customFormat="1" ht="12" hidden="1">
      <c r="A484" s="3" t="s">
        <v>250</v>
      </c>
      <c r="B484" s="136"/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  <c r="M484" s="136"/>
      <c r="N484" s="4">
        <f t="shared" si="100"/>
        <v>0</v>
      </c>
      <c r="P484" s="76"/>
      <c r="Q484" s="80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  <c r="AC484" s="114"/>
      <c r="AD484" s="114"/>
      <c r="AE484" s="114"/>
      <c r="AF484" s="114"/>
      <c r="AG484" s="114"/>
      <c r="AH484" s="114"/>
    </row>
    <row r="485" spans="1:34" s="5" customFormat="1" ht="12" customHeight="1" hidden="1">
      <c r="A485" s="3" t="s">
        <v>251</v>
      </c>
      <c r="B485" s="136"/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  <c r="M485" s="136"/>
      <c r="N485" s="4">
        <f t="shared" si="100"/>
        <v>0</v>
      </c>
      <c r="P485" s="76"/>
      <c r="Q485" s="80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  <c r="AC485" s="114"/>
      <c r="AD485" s="114"/>
      <c r="AE485" s="114"/>
      <c r="AF485" s="114"/>
      <c r="AG485" s="114"/>
      <c r="AH485" s="114"/>
    </row>
    <row r="486" spans="1:34" s="5" customFormat="1" ht="12" customHeight="1" hidden="1">
      <c r="A486" s="3" t="s">
        <v>252</v>
      </c>
      <c r="B486" s="136"/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  <c r="M486" s="136"/>
      <c r="N486" s="4">
        <f t="shared" si="100"/>
        <v>0</v>
      </c>
      <c r="P486" s="76"/>
      <c r="Q486" s="80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  <c r="AC486" s="114"/>
      <c r="AD486" s="114"/>
      <c r="AE486" s="114"/>
      <c r="AF486" s="114"/>
      <c r="AG486" s="114"/>
      <c r="AH486" s="114"/>
    </row>
    <row r="487" spans="1:34" s="5" customFormat="1" ht="12" customHeight="1" hidden="1">
      <c r="A487" s="3" t="s">
        <v>328</v>
      </c>
      <c r="B487" s="136"/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  <c r="M487" s="136"/>
      <c r="N487" s="4">
        <f t="shared" si="100"/>
        <v>0</v>
      </c>
      <c r="P487" s="76"/>
      <c r="Q487" s="80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4"/>
      <c r="AF487" s="114"/>
      <c r="AG487" s="114"/>
      <c r="AH487" s="114"/>
    </row>
    <row r="488" spans="1:34" s="5" customFormat="1" ht="12" customHeight="1" hidden="1">
      <c r="A488" s="3" t="s">
        <v>326</v>
      </c>
      <c r="B488" s="136"/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  <c r="M488" s="136"/>
      <c r="N488" s="4">
        <f t="shared" si="100"/>
        <v>0</v>
      </c>
      <c r="P488" s="76"/>
      <c r="Q488" s="80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4"/>
      <c r="AF488" s="114"/>
      <c r="AG488" s="114"/>
      <c r="AH488" s="114"/>
    </row>
    <row r="489" spans="1:34" s="6" customFormat="1" ht="12" customHeight="1">
      <c r="A489" s="15" t="s">
        <v>40</v>
      </c>
      <c r="B489" s="137">
        <f aca="true" t="shared" si="101" ref="B489:M489">SUM(B490:B507)</f>
        <v>840151.0500000003</v>
      </c>
      <c r="C489" s="137">
        <f t="shared" si="101"/>
        <v>840151.0500000003</v>
      </c>
      <c r="D489" s="137">
        <f t="shared" si="101"/>
        <v>840151.0500000003</v>
      </c>
      <c r="E489" s="137">
        <f t="shared" si="101"/>
        <v>840151.0500000003</v>
      </c>
      <c r="F489" s="137">
        <f t="shared" si="101"/>
        <v>840151.0500000003</v>
      </c>
      <c r="G489" s="137">
        <f t="shared" si="101"/>
        <v>840151.0500000003</v>
      </c>
      <c r="H489" s="137">
        <f t="shared" si="101"/>
        <v>840151.0500000003</v>
      </c>
      <c r="I489" s="137">
        <f t="shared" si="101"/>
        <v>840151.0500000003</v>
      </c>
      <c r="J489" s="137">
        <f t="shared" si="101"/>
        <v>840151.0500000003</v>
      </c>
      <c r="K489" s="137">
        <f t="shared" si="101"/>
        <v>840151.0500000003</v>
      </c>
      <c r="L489" s="137">
        <f t="shared" si="101"/>
        <v>840151.0500000003</v>
      </c>
      <c r="M489" s="137">
        <f t="shared" si="101"/>
        <v>840152.4000000003</v>
      </c>
      <c r="N489" s="16">
        <f>SUM(B489:M489)</f>
        <v>10081813.950000007</v>
      </c>
      <c r="O489" s="65">
        <f>SUM(N490:N507)</f>
        <v>10081813.950000003</v>
      </c>
      <c r="P489" s="65">
        <f>SUM(B489:I489)</f>
        <v>6721208.400000004</v>
      </c>
      <c r="Q489" s="81"/>
      <c r="R489" s="115">
        <f>'[1]Ejecución Indotel'!$BL$85</f>
        <v>516666</v>
      </c>
      <c r="S489" s="115">
        <f>SUM(N491:N507)</f>
        <v>10081813.950000003</v>
      </c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  <c r="AG489" s="115"/>
      <c r="AH489" s="115"/>
    </row>
    <row r="490" spans="1:34" s="5" customFormat="1" ht="12" customHeight="1">
      <c r="A490" s="3" t="s">
        <v>557</v>
      </c>
      <c r="B490" s="136"/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  <c r="M490" s="136"/>
      <c r="N490" s="4">
        <f>SUM(B490:M490)</f>
        <v>0</v>
      </c>
      <c r="O490" s="76" t="s">
        <v>569</v>
      </c>
      <c r="P490" s="76"/>
      <c r="Q490" s="80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  <c r="AC490" s="114"/>
      <c r="AD490" s="114"/>
      <c r="AE490" s="114"/>
      <c r="AF490" s="114"/>
      <c r="AG490" s="114"/>
      <c r="AH490" s="114"/>
    </row>
    <row r="491" spans="1:34" s="219" customFormat="1" ht="12">
      <c r="A491" s="228" t="s">
        <v>236</v>
      </c>
      <c r="B491" s="136">
        <v>49420.65</v>
      </c>
      <c r="C491" s="136">
        <v>49420.65</v>
      </c>
      <c r="D491" s="136">
        <v>49420.65</v>
      </c>
      <c r="E491" s="136">
        <v>49420.65</v>
      </c>
      <c r="F491" s="136">
        <v>49420.65</v>
      </c>
      <c r="G491" s="136">
        <v>49420.65</v>
      </c>
      <c r="H491" s="136">
        <v>49420.65</v>
      </c>
      <c r="I491" s="136">
        <v>49420.65</v>
      </c>
      <c r="J491" s="136">
        <v>49420.65</v>
      </c>
      <c r="K491" s="136">
        <v>49420.65</v>
      </c>
      <c r="L491" s="136">
        <v>49420.65</v>
      </c>
      <c r="M491" s="136">
        <v>49422</v>
      </c>
      <c r="N491" s="240">
        <f t="shared" si="100"/>
        <v>593049.1500000001</v>
      </c>
      <c r="O491" s="216"/>
      <c r="P491" s="229"/>
      <c r="Q491" s="220"/>
      <c r="R491" s="221"/>
      <c r="S491" s="221"/>
      <c r="T491" s="221"/>
      <c r="U491" s="221"/>
      <c r="V491" s="221"/>
      <c r="W491" s="221"/>
      <c r="X491" s="221"/>
      <c r="Y491" s="221"/>
      <c r="Z491" s="221"/>
      <c r="AA491" s="221"/>
      <c r="AB491" s="221"/>
      <c r="AC491" s="221"/>
      <c r="AD491" s="221"/>
      <c r="AE491" s="221"/>
      <c r="AF491" s="221"/>
      <c r="AG491" s="221"/>
      <c r="AH491" s="221"/>
    </row>
    <row r="492" spans="1:34" s="5" customFormat="1" ht="12" customHeight="1">
      <c r="A492" s="3" t="s">
        <v>237</v>
      </c>
      <c r="B492" s="136">
        <v>49420.65</v>
      </c>
      <c r="C492" s="136">
        <v>49420.65</v>
      </c>
      <c r="D492" s="136">
        <v>49420.65</v>
      </c>
      <c r="E492" s="136">
        <v>49420.65</v>
      </c>
      <c r="F492" s="136">
        <v>49420.65</v>
      </c>
      <c r="G492" s="136">
        <v>49420.65</v>
      </c>
      <c r="H492" s="136">
        <v>49420.65</v>
      </c>
      <c r="I492" s="136">
        <v>49420.65</v>
      </c>
      <c r="J492" s="136">
        <v>49420.65</v>
      </c>
      <c r="K492" s="136">
        <v>49420.65</v>
      </c>
      <c r="L492" s="136">
        <v>49420.65</v>
      </c>
      <c r="M492" s="136">
        <v>49420.65</v>
      </c>
      <c r="N492" s="4">
        <f t="shared" si="100"/>
        <v>593047.8000000002</v>
      </c>
      <c r="P492" s="76"/>
      <c r="Q492" s="80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  <c r="AC492" s="114"/>
      <c r="AD492" s="114"/>
      <c r="AE492" s="114"/>
      <c r="AF492" s="114"/>
      <c r="AG492" s="114"/>
      <c r="AH492" s="114"/>
    </row>
    <row r="493" spans="1:34" s="5" customFormat="1" ht="12" customHeight="1">
      <c r="A493" s="3" t="s">
        <v>238</v>
      </c>
      <c r="B493" s="136">
        <v>49420.65</v>
      </c>
      <c r="C493" s="136">
        <v>49420.65</v>
      </c>
      <c r="D493" s="136">
        <v>49420.65</v>
      </c>
      <c r="E493" s="136">
        <v>49420.65</v>
      </c>
      <c r="F493" s="136">
        <v>49420.65</v>
      </c>
      <c r="G493" s="136">
        <v>49420.65</v>
      </c>
      <c r="H493" s="136">
        <v>49420.65</v>
      </c>
      <c r="I493" s="136">
        <v>49420.65</v>
      </c>
      <c r="J493" s="136">
        <v>49420.65</v>
      </c>
      <c r="K493" s="136">
        <v>49420.65</v>
      </c>
      <c r="L493" s="136">
        <v>49420.65</v>
      </c>
      <c r="M493" s="136">
        <v>49420.65</v>
      </c>
      <c r="N493" s="4">
        <f t="shared" si="100"/>
        <v>593047.8000000002</v>
      </c>
      <c r="P493" s="76"/>
      <c r="Q493" s="80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  <c r="AC493" s="114"/>
      <c r="AD493" s="114"/>
      <c r="AE493" s="114"/>
      <c r="AF493" s="114"/>
      <c r="AG493" s="114"/>
      <c r="AH493" s="114"/>
    </row>
    <row r="494" spans="1:34" s="5" customFormat="1" ht="12" customHeight="1">
      <c r="A494" s="3" t="s">
        <v>239</v>
      </c>
      <c r="B494" s="136">
        <v>49420.65</v>
      </c>
      <c r="C494" s="136">
        <v>49420.65</v>
      </c>
      <c r="D494" s="136">
        <v>49420.65</v>
      </c>
      <c r="E494" s="136">
        <v>49420.65</v>
      </c>
      <c r="F494" s="136">
        <v>49420.65</v>
      </c>
      <c r="G494" s="136">
        <v>49420.65</v>
      </c>
      <c r="H494" s="136">
        <v>49420.65</v>
      </c>
      <c r="I494" s="136">
        <v>49420.65</v>
      </c>
      <c r="J494" s="136">
        <v>49420.65</v>
      </c>
      <c r="K494" s="136">
        <v>49420.65</v>
      </c>
      <c r="L494" s="136">
        <v>49420.65</v>
      </c>
      <c r="M494" s="136">
        <v>49420.65</v>
      </c>
      <c r="N494" s="4">
        <f t="shared" si="100"/>
        <v>593047.8000000002</v>
      </c>
      <c r="P494" s="76"/>
      <c r="Q494" s="80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  <c r="AC494" s="114"/>
      <c r="AD494" s="114"/>
      <c r="AE494" s="114"/>
      <c r="AF494" s="114"/>
      <c r="AG494" s="114"/>
      <c r="AH494" s="114"/>
    </row>
    <row r="495" spans="1:34" s="5" customFormat="1" ht="12" customHeight="1">
      <c r="A495" s="3" t="s">
        <v>240</v>
      </c>
      <c r="B495" s="136">
        <v>49420.65</v>
      </c>
      <c r="C495" s="136">
        <v>49420.65</v>
      </c>
      <c r="D495" s="136">
        <v>49420.65</v>
      </c>
      <c r="E495" s="136">
        <v>49420.65</v>
      </c>
      <c r="F495" s="136">
        <v>49420.65</v>
      </c>
      <c r="G495" s="136">
        <v>49420.65</v>
      </c>
      <c r="H495" s="136">
        <v>49420.65</v>
      </c>
      <c r="I495" s="136">
        <v>49420.65</v>
      </c>
      <c r="J495" s="136">
        <v>49420.65</v>
      </c>
      <c r="K495" s="136">
        <v>49420.65</v>
      </c>
      <c r="L495" s="136">
        <v>49420.65</v>
      </c>
      <c r="M495" s="136">
        <v>49420.65</v>
      </c>
      <c r="N495" s="4">
        <f t="shared" si="100"/>
        <v>593047.8000000002</v>
      </c>
      <c r="P495" s="76"/>
      <c r="Q495" s="80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  <c r="AC495" s="114"/>
      <c r="AD495" s="114"/>
      <c r="AE495" s="114"/>
      <c r="AF495" s="114"/>
      <c r="AG495" s="114"/>
      <c r="AH495" s="114"/>
    </row>
    <row r="496" spans="1:34" s="5" customFormat="1" ht="12.75" customHeight="1">
      <c r="A496" s="3" t="s">
        <v>241</v>
      </c>
      <c r="B496" s="136">
        <v>49420.65</v>
      </c>
      <c r="C496" s="136">
        <v>49420.65</v>
      </c>
      <c r="D496" s="136">
        <v>49420.65</v>
      </c>
      <c r="E496" s="136">
        <v>49420.65</v>
      </c>
      <c r="F496" s="136">
        <v>49420.65</v>
      </c>
      <c r="G496" s="136">
        <v>49420.65</v>
      </c>
      <c r="H496" s="136">
        <v>49420.65</v>
      </c>
      <c r="I496" s="136">
        <v>49420.65</v>
      </c>
      <c r="J496" s="136">
        <v>49420.65</v>
      </c>
      <c r="K496" s="136">
        <v>49420.65</v>
      </c>
      <c r="L496" s="136">
        <v>49420.65</v>
      </c>
      <c r="M496" s="136">
        <v>49420.65</v>
      </c>
      <c r="N496" s="4">
        <f t="shared" si="100"/>
        <v>593047.8000000002</v>
      </c>
      <c r="P496" s="76"/>
      <c r="Q496" s="80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  <c r="AC496" s="114"/>
      <c r="AD496" s="114"/>
      <c r="AE496" s="114"/>
      <c r="AF496" s="114"/>
      <c r="AG496" s="114"/>
      <c r="AH496" s="114"/>
    </row>
    <row r="497" spans="1:34" s="5" customFormat="1" ht="12" customHeight="1">
      <c r="A497" s="3" t="s">
        <v>242</v>
      </c>
      <c r="B497" s="136">
        <v>49420.65</v>
      </c>
      <c r="C497" s="136">
        <v>49420.65</v>
      </c>
      <c r="D497" s="136">
        <v>49420.65</v>
      </c>
      <c r="E497" s="136">
        <v>49420.65</v>
      </c>
      <c r="F497" s="136">
        <v>49420.65</v>
      </c>
      <c r="G497" s="136">
        <v>49420.65</v>
      </c>
      <c r="H497" s="136">
        <v>49420.65</v>
      </c>
      <c r="I497" s="136">
        <v>49420.65</v>
      </c>
      <c r="J497" s="136">
        <v>49420.65</v>
      </c>
      <c r="K497" s="136">
        <v>49420.65</v>
      </c>
      <c r="L497" s="136">
        <v>49420.65</v>
      </c>
      <c r="M497" s="136">
        <v>49420.65</v>
      </c>
      <c r="N497" s="4">
        <f t="shared" si="100"/>
        <v>593047.8000000002</v>
      </c>
      <c r="P497" s="76"/>
      <c r="Q497" s="80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  <c r="AC497" s="114"/>
      <c r="AD497" s="114"/>
      <c r="AE497" s="114"/>
      <c r="AF497" s="114"/>
      <c r="AG497" s="114"/>
      <c r="AH497" s="114"/>
    </row>
    <row r="498" spans="1:34" s="5" customFormat="1" ht="12" customHeight="1">
      <c r="A498" s="3" t="s">
        <v>243</v>
      </c>
      <c r="B498" s="136">
        <v>49420.65</v>
      </c>
      <c r="C498" s="136">
        <v>49420.65</v>
      </c>
      <c r="D498" s="136">
        <v>49420.65</v>
      </c>
      <c r="E498" s="136">
        <v>49420.65</v>
      </c>
      <c r="F498" s="136">
        <v>49420.65</v>
      </c>
      <c r="G498" s="136">
        <v>49420.65</v>
      </c>
      <c r="H498" s="136">
        <v>49420.65</v>
      </c>
      <c r="I498" s="136">
        <v>49420.65</v>
      </c>
      <c r="J498" s="136">
        <v>49420.65</v>
      </c>
      <c r="K498" s="136">
        <v>49420.65</v>
      </c>
      <c r="L498" s="136">
        <v>49420.65</v>
      </c>
      <c r="M498" s="136">
        <v>49420.65</v>
      </c>
      <c r="N498" s="4">
        <f t="shared" si="100"/>
        <v>593047.8000000002</v>
      </c>
      <c r="P498" s="76"/>
      <c r="Q498" s="80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  <c r="AC498" s="114"/>
      <c r="AD498" s="114"/>
      <c r="AE498" s="114"/>
      <c r="AF498" s="114"/>
      <c r="AG498" s="114"/>
      <c r="AH498" s="114"/>
    </row>
    <row r="499" spans="1:34" s="5" customFormat="1" ht="12" customHeight="1">
      <c r="A499" s="3" t="s">
        <v>244</v>
      </c>
      <c r="B499" s="136">
        <v>49420.65</v>
      </c>
      <c r="C499" s="136">
        <v>49420.65</v>
      </c>
      <c r="D499" s="136">
        <v>49420.65</v>
      </c>
      <c r="E499" s="136">
        <v>49420.65</v>
      </c>
      <c r="F499" s="136">
        <v>49420.65</v>
      </c>
      <c r="G499" s="136">
        <v>49420.65</v>
      </c>
      <c r="H499" s="136">
        <v>49420.65</v>
      </c>
      <c r="I499" s="136">
        <v>49420.65</v>
      </c>
      <c r="J499" s="136">
        <v>49420.65</v>
      </c>
      <c r="K499" s="136">
        <v>49420.65</v>
      </c>
      <c r="L499" s="136">
        <v>49420.65</v>
      </c>
      <c r="M499" s="136">
        <v>49420.65</v>
      </c>
      <c r="N499" s="4">
        <f t="shared" si="100"/>
        <v>593047.8000000002</v>
      </c>
      <c r="P499" s="76"/>
      <c r="Q499" s="80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  <c r="AC499" s="114"/>
      <c r="AD499" s="114"/>
      <c r="AE499" s="114"/>
      <c r="AF499" s="114"/>
      <c r="AG499" s="114"/>
      <c r="AH499" s="114"/>
    </row>
    <row r="500" spans="1:34" s="5" customFormat="1" ht="12" customHeight="1">
      <c r="A500" s="3" t="s">
        <v>245</v>
      </c>
      <c r="B500" s="136">
        <v>49420.65</v>
      </c>
      <c r="C500" s="136">
        <v>49420.65</v>
      </c>
      <c r="D500" s="136">
        <v>49420.65</v>
      </c>
      <c r="E500" s="136">
        <v>49420.65</v>
      </c>
      <c r="F500" s="136">
        <v>49420.65</v>
      </c>
      <c r="G500" s="136">
        <v>49420.65</v>
      </c>
      <c r="H500" s="136">
        <v>49420.65</v>
      </c>
      <c r="I500" s="136">
        <v>49420.65</v>
      </c>
      <c r="J500" s="136">
        <v>49420.65</v>
      </c>
      <c r="K500" s="136">
        <v>49420.65</v>
      </c>
      <c r="L500" s="136">
        <v>49420.65</v>
      </c>
      <c r="M500" s="136">
        <v>49420.65</v>
      </c>
      <c r="N500" s="4">
        <f t="shared" si="100"/>
        <v>593047.8000000002</v>
      </c>
      <c r="P500" s="76"/>
      <c r="Q500" s="80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  <c r="AC500" s="114"/>
      <c r="AD500" s="114"/>
      <c r="AE500" s="114"/>
      <c r="AF500" s="114"/>
      <c r="AG500" s="114"/>
      <c r="AH500" s="114"/>
    </row>
    <row r="501" spans="1:34" s="5" customFormat="1" ht="12" customHeight="1">
      <c r="A501" s="3" t="s">
        <v>246</v>
      </c>
      <c r="B501" s="136">
        <v>49420.65</v>
      </c>
      <c r="C501" s="136">
        <v>49420.65</v>
      </c>
      <c r="D501" s="136">
        <v>49420.65</v>
      </c>
      <c r="E501" s="136">
        <v>49420.65</v>
      </c>
      <c r="F501" s="136">
        <v>49420.65</v>
      </c>
      <c r="G501" s="136">
        <v>49420.65</v>
      </c>
      <c r="H501" s="136">
        <v>49420.65</v>
      </c>
      <c r="I501" s="136">
        <v>49420.65</v>
      </c>
      <c r="J501" s="136">
        <v>49420.65</v>
      </c>
      <c r="K501" s="136">
        <v>49420.65</v>
      </c>
      <c r="L501" s="136">
        <v>49420.65</v>
      </c>
      <c r="M501" s="136">
        <v>49420.65</v>
      </c>
      <c r="N501" s="4">
        <f t="shared" si="100"/>
        <v>593047.8000000002</v>
      </c>
      <c r="P501" s="76"/>
      <c r="Q501" s="80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  <c r="AC501" s="114"/>
      <c r="AD501" s="114"/>
      <c r="AE501" s="114"/>
      <c r="AF501" s="114"/>
      <c r="AG501" s="114"/>
      <c r="AH501" s="114"/>
    </row>
    <row r="502" spans="1:34" s="5" customFormat="1" ht="12" customHeight="1">
      <c r="A502" s="3" t="s">
        <v>247</v>
      </c>
      <c r="B502" s="136">
        <v>49420.65</v>
      </c>
      <c r="C502" s="136">
        <v>49420.65</v>
      </c>
      <c r="D502" s="136">
        <v>49420.65</v>
      </c>
      <c r="E502" s="136">
        <v>49420.65</v>
      </c>
      <c r="F502" s="136">
        <v>49420.65</v>
      </c>
      <c r="G502" s="136">
        <v>49420.65</v>
      </c>
      <c r="H502" s="136">
        <v>49420.65</v>
      </c>
      <c r="I502" s="136">
        <v>49420.65</v>
      </c>
      <c r="J502" s="136">
        <v>49420.65</v>
      </c>
      <c r="K502" s="136">
        <v>49420.65</v>
      </c>
      <c r="L502" s="136">
        <v>49420.65</v>
      </c>
      <c r="M502" s="136">
        <v>49420.65</v>
      </c>
      <c r="N502" s="4">
        <f t="shared" si="100"/>
        <v>593047.8000000002</v>
      </c>
      <c r="P502" s="76"/>
      <c r="Q502" s="80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  <c r="AC502" s="114"/>
      <c r="AD502" s="114"/>
      <c r="AE502" s="114"/>
      <c r="AF502" s="114"/>
      <c r="AG502" s="114"/>
      <c r="AH502" s="114"/>
    </row>
    <row r="503" spans="1:34" s="5" customFormat="1" ht="12" customHeight="1">
      <c r="A503" s="3" t="s">
        <v>296</v>
      </c>
      <c r="B503" s="136">
        <v>49420.65</v>
      </c>
      <c r="C503" s="136">
        <v>49420.65</v>
      </c>
      <c r="D503" s="136">
        <v>49420.65</v>
      </c>
      <c r="E503" s="136">
        <v>49420.65</v>
      </c>
      <c r="F503" s="136">
        <v>49420.65</v>
      </c>
      <c r="G503" s="136">
        <v>49420.65</v>
      </c>
      <c r="H503" s="136">
        <v>49420.65</v>
      </c>
      <c r="I503" s="136">
        <v>49420.65</v>
      </c>
      <c r="J503" s="136">
        <v>49420.65</v>
      </c>
      <c r="K503" s="136">
        <v>49420.65</v>
      </c>
      <c r="L503" s="136">
        <v>49420.65</v>
      </c>
      <c r="M503" s="136">
        <v>49420.65</v>
      </c>
      <c r="N503" s="4">
        <f t="shared" si="100"/>
        <v>593047.8000000002</v>
      </c>
      <c r="P503" s="76"/>
      <c r="Q503" s="80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  <c r="AC503" s="114"/>
      <c r="AD503" s="114"/>
      <c r="AE503" s="114"/>
      <c r="AF503" s="114"/>
      <c r="AG503" s="114"/>
      <c r="AH503" s="114"/>
    </row>
    <row r="504" spans="1:34" s="5" customFormat="1" ht="12" customHeight="1">
      <c r="A504" s="3" t="s">
        <v>249</v>
      </c>
      <c r="B504" s="136">
        <v>49420.65</v>
      </c>
      <c r="C504" s="136">
        <v>49420.65</v>
      </c>
      <c r="D504" s="136">
        <v>49420.65</v>
      </c>
      <c r="E504" s="136">
        <v>49420.65</v>
      </c>
      <c r="F504" s="136">
        <v>49420.65</v>
      </c>
      <c r="G504" s="136">
        <v>49420.65</v>
      </c>
      <c r="H504" s="136">
        <v>49420.65</v>
      </c>
      <c r="I504" s="136">
        <v>49420.65</v>
      </c>
      <c r="J504" s="136">
        <v>49420.65</v>
      </c>
      <c r="K504" s="136">
        <v>49420.65</v>
      </c>
      <c r="L504" s="136">
        <v>49420.65</v>
      </c>
      <c r="M504" s="136">
        <v>49420.65</v>
      </c>
      <c r="N504" s="4">
        <f t="shared" si="100"/>
        <v>593047.8000000002</v>
      </c>
      <c r="P504" s="76"/>
      <c r="Q504" s="80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  <c r="AC504" s="114"/>
      <c r="AD504" s="114"/>
      <c r="AE504" s="114"/>
      <c r="AF504" s="114"/>
      <c r="AG504" s="114"/>
      <c r="AH504" s="114"/>
    </row>
    <row r="505" spans="1:34" s="5" customFormat="1" ht="12">
      <c r="A505" s="3" t="s">
        <v>250</v>
      </c>
      <c r="B505" s="136">
        <v>49420.65</v>
      </c>
      <c r="C505" s="136">
        <v>49420.65</v>
      </c>
      <c r="D505" s="136">
        <v>49420.65</v>
      </c>
      <c r="E505" s="136">
        <v>49420.65</v>
      </c>
      <c r="F505" s="136">
        <v>49420.65</v>
      </c>
      <c r="G505" s="136">
        <v>49420.65</v>
      </c>
      <c r="H505" s="136">
        <v>49420.65</v>
      </c>
      <c r="I505" s="136">
        <v>49420.65</v>
      </c>
      <c r="J505" s="136">
        <v>49420.65</v>
      </c>
      <c r="K505" s="136">
        <v>49420.65</v>
      </c>
      <c r="L505" s="136">
        <v>49420.65</v>
      </c>
      <c r="M505" s="136">
        <v>49420.65</v>
      </c>
      <c r="N505" s="4">
        <f t="shared" si="100"/>
        <v>593047.8000000002</v>
      </c>
      <c r="P505" s="76"/>
      <c r="Q505" s="80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  <c r="AC505" s="114"/>
      <c r="AD505" s="114"/>
      <c r="AE505" s="114"/>
      <c r="AF505" s="114"/>
      <c r="AG505" s="114"/>
      <c r="AH505" s="114"/>
    </row>
    <row r="506" spans="1:34" s="5" customFormat="1" ht="12" customHeight="1">
      <c r="A506" s="3" t="s">
        <v>252</v>
      </c>
      <c r="B506" s="136">
        <v>49420.65</v>
      </c>
      <c r="C506" s="136">
        <v>49420.65</v>
      </c>
      <c r="D506" s="136">
        <v>49420.65</v>
      </c>
      <c r="E506" s="136">
        <v>49420.65</v>
      </c>
      <c r="F506" s="136">
        <v>49420.65</v>
      </c>
      <c r="G506" s="136">
        <v>49420.65</v>
      </c>
      <c r="H506" s="136">
        <v>49420.65</v>
      </c>
      <c r="I506" s="136">
        <v>49420.65</v>
      </c>
      <c r="J506" s="136">
        <v>49420.65</v>
      </c>
      <c r="K506" s="136">
        <v>49420.65</v>
      </c>
      <c r="L506" s="136">
        <v>49420.65</v>
      </c>
      <c r="M506" s="136">
        <v>49420.65</v>
      </c>
      <c r="N506" s="4">
        <f t="shared" si="100"/>
        <v>593047.8000000002</v>
      </c>
      <c r="P506" s="76"/>
      <c r="Q506" s="80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  <c r="AC506" s="114"/>
      <c r="AD506" s="114"/>
      <c r="AE506" s="114"/>
      <c r="AF506" s="114"/>
      <c r="AG506" s="114"/>
      <c r="AH506" s="114"/>
    </row>
    <row r="507" spans="1:34" s="5" customFormat="1" ht="12" customHeight="1">
      <c r="A507" s="3" t="s">
        <v>305</v>
      </c>
      <c r="B507" s="136">
        <v>49420.65</v>
      </c>
      <c r="C507" s="136">
        <v>49420.65</v>
      </c>
      <c r="D507" s="136">
        <v>49420.65</v>
      </c>
      <c r="E507" s="136">
        <v>49420.65</v>
      </c>
      <c r="F507" s="136">
        <v>49420.65</v>
      </c>
      <c r="G507" s="136">
        <v>49420.65</v>
      </c>
      <c r="H507" s="136">
        <v>49420.65</v>
      </c>
      <c r="I507" s="136">
        <v>49420.65</v>
      </c>
      <c r="J507" s="136">
        <v>49420.65</v>
      </c>
      <c r="K507" s="136">
        <v>49420.65</v>
      </c>
      <c r="L507" s="136">
        <v>49420.65</v>
      </c>
      <c r="M507" s="136">
        <v>49420.65</v>
      </c>
      <c r="N507" s="4">
        <f t="shared" si="100"/>
        <v>593047.8000000002</v>
      </c>
      <c r="P507" s="76"/>
      <c r="Q507" s="80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  <c r="AC507" s="114"/>
      <c r="AD507" s="114"/>
      <c r="AE507" s="114"/>
      <c r="AF507" s="114"/>
      <c r="AG507" s="114"/>
      <c r="AH507" s="114"/>
    </row>
    <row r="508" spans="1:34" s="6" customFormat="1" ht="12" customHeight="1">
      <c r="A508" s="301" t="s">
        <v>156</v>
      </c>
      <c r="B508" s="302">
        <f>SUM(B509:B513)</f>
        <v>654619.33</v>
      </c>
      <c r="C508" s="302">
        <f aca="true" t="shared" si="102" ref="C508:L508">SUM(C509:C513)</f>
        <v>654619.33</v>
      </c>
      <c r="D508" s="302">
        <f t="shared" si="102"/>
        <v>654619.33</v>
      </c>
      <c r="E508" s="302">
        <f t="shared" si="102"/>
        <v>654619.33</v>
      </c>
      <c r="F508" s="302">
        <f t="shared" si="102"/>
        <v>654619.33</v>
      </c>
      <c r="G508" s="302">
        <f t="shared" si="102"/>
        <v>654619.33</v>
      </c>
      <c r="H508" s="302">
        <f t="shared" si="102"/>
        <v>654619.33</v>
      </c>
      <c r="I508" s="302">
        <f t="shared" si="102"/>
        <v>654619.33</v>
      </c>
      <c r="J508" s="302">
        <f t="shared" si="102"/>
        <v>654619.33</v>
      </c>
      <c r="K508" s="302">
        <f t="shared" si="102"/>
        <v>654619.33</v>
      </c>
      <c r="L508" s="302">
        <f t="shared" si="102"/>
        <v>654619.33</v>
      </c>
      <c r="M508" s="302">
        <f>SUM(M509:M513)</f>
        <v>654619.33</v>
      </c>
      <c r="N508" s="303">
        <f>SUM(B508:M508)</f>
        <v>7855431.96</v>
      </c>
      <c r="P508" s="76">
        <f>SUM(B508:I508)</f>
        <v>5236954.64</v>
      </c>
      <c r="Q508" s="81"/>
      <c r="R508" s="115"/>
      <c r="S508" s="115">
        <f>SUM(N509:N512)</f>
        <v>7851891.96</v>
      </c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  <c r="AG508" s="115"/>
      <c r="AH508" s="115"/>
    </row>
    <row r="509" spans="1:34" s="216" customFormat="1" ht="12" customHeight="1">
      <c r="A509" s="228" t="s">
        <v>558</v>
      </c>
      <c r="B509" s="136">
        <v>593824.33</v>
      </c>
      <c r="C509" s="136">
        <v>593824.33</v>
      </c>
      <c r="D509" s="136">
        <v>593824.33</v>
      </c>
      <c r="E509" s="136">
        <v>593824.33</v>
      </c>
      <c r="F509" s="136">
        <v>593824.33</v>
      </c>
      <c r="G509" s="136">
        <v>593824.33</v>
      </c>
      <c r="H509" s="136">
        <v>593824.33</v>
      </c>
      <c r="I509" s="136">
        <v>593824.33</v>
      </c>
      <c r="J509" s="136">
        <v>593824.33</v>
      </c>
      <c r="K509" s="136">
        <v>593824.33</v>
      </c>
      <c r="L509" s="136">
        <v>593824.33</v>
      </c>
      <c r="M509" s="136">
        <v>593824.33</v>
      </c>
      <c r="N509" s="240">
        <f t="shared" si="100"/>
        <v>7125891.96</v>
      </c>
      <c r="O509" s="229">
        <f>SUM(N509:N513)</f>
        <v>7855431.96</v>
      </c>
      <c r="P509" s="229">
        <f>SUM(B509:I509)</f>
        <v>4750594.64</v>
      </c>
      <c r="Q509" s="230"/>
      <c r="R509" s="217">
        <f>'[1]Ejecución Indotel'!$BL$89</f>
        <v>500000</v>
      </c>
      <c r="S509" s="217"/>
      <c r="T509" s="217"/>
      <c r="U509" s="217"/>
      <c r="V509" s="217"/>
      <c r="W509" s="217"/>
      <c r="X509" s="217"/>
      <c r="Y509" s="217"/>
      <c r="Z509" s="217"/>
      <c r="AA509" s="217"/>
      <c r="AB509" s="217"/>
      <c r="AC509" s="217"/>
      <c r="AD509" s="217"/>
      <c r="AE509" s="217"/>
      <c r="AF509" s="217"/>
      <c r="AG509" s="217"/>
      <c r="AH509" s="217"/>
    </row>
    <row r="510" spans="1:34" s="5" customFormat="1" ht="12" customHeight="1">
      <c r="A510" s="3" t="s">
        <v>263</v>
      </c>
      <c r="B510" s="136">
        <v>60000</v>
      </c>
      <c r="C510" s="136">
        <v>60000</v>
      </c>
      <c r="D510" s="136">
        <v>60000</v>
      </c>
      <c r="E510" s="136">
        <v>60000</v>
      </c>
      <c r="F510" s="136">
        <v>60000</v>
      </c>
      <c r="G510" s="136">
        <v>60000</v>
      </c>
      <c r="H510" s="136">
        <v>60000</v>
      </c>
      <c r="I510" s="136">
        <v>60000</v>
      </c>
      <c r="J510" s="136">
        <v>60000</v>
      </c>
      <c r="K510" s="136">
        <v>60000</v>
      </c>
      <c r="L510" s="136">
        <v>60000</v>
      </c>
      <c r="M510" s="136">
        <v>60000</v>
      </c>
      <c r="N510" s="4">
        <f t="shared" si="100"/>
        <v>720000</v>
      </c>
      <c r="P510" s="76"/>
      <c r="Q510" s="80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  <c r="AC510" s="114"/>
      <c r="AD510" s="114"/>
      <c r="AE510" s="114"/>
      <c r="AF510" s="114"/>
      <c r="AG510" s="114"/>
      <c r="AH510" s="114"/>
    </row>
    <row r="511" spans="1:34" s="5" customFormat="1" ht="12" customHeight="1">
      <c r="A511" s="3" t="s">
        <v>318</v>
      </c>
      <c r="B511" s="136"/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  <c r="M511" s="136"/>
      <c r="N511" s="4">
        <f t="shared" si="100"/>
        <v>0</v>
      </c>
      <c r="P511" s="76"/>
      <c r="Q511" s="80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4"/>
      <c r="AF511" s="114"/>
      <c r="AG511" s="114"/>
      <c r="AH511" s="114"/>
    </row>
    <row r="512" spans="1:34" s="5" customFormat="1" ht="12" customHeight="1">
      <c r="A512" s="3" t="s">
        <v>193</v>
      </c>
      <c r="B512" s="136">
        <v>500</v>
      </c>
      <c r="C512" s="136">
        <v>500</v>
      </c>
      <c r="D512" s="136">
        <v>500</v>
      </c>
      <c r="E512" s="136">
        <v>500</v>
      </c>
      <c r="F512" s="136">
        <v>500</v>
      </c>
      <c r="G512" s="136">
        <v>500</v>
      </c>
      <c r="H512" s="136">
        <v>500</v>
      </c>
      <c r="I512" s="136">
        <v>500</v>
      </c>
      <c r="J512" s="136">
        <v>500</v>
      </c>
      <c r="K512" s="136">
        <v>500</v>
      </c>
      <c r="L512" s="136">
        <v>500</v>
      </c>
      <c r="M512" s="136">
        <v>500</v>
      </c>
      <c r="N512" s="4">
        <f>SUM(B512:M512)</f>
        <v>6000</v>
      </c>
      <c r="P512" s="76">
        <f>SUM(B512:I512)</f>
        <v>4000</v>
      </c>
      <c r="Q512" s="80"/>
      <c r="R512" s="114">
        <f>'[1]Ejecución Indotel'!$BL$92</f>
        <v>2169</v>
      </c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4"/>
      <c r="AF512" s="114"/>
      <c r="AG512" s="114"/>
      <c r="AH512" s="114"/>
    </row>
    <row r="513" spans="1:34" s="5" customFormat="1" ht="12" customHeight="1">
      <c r="A513" s="3" t="s">
        <v>697</v>
      </c>
      <c r="B513" s="136">
        <v>295</v>
      </c>
      <c r="C513" s="136">
        <v>295</v>
      </c>
      <c r="D513" s="136">
        <v>295</v>
      </c>
      <c r="E513" s="136">
        <v>295</v>
      </c>
      <c r="F513" s="136">
        <v>295</v>
      </c>
      <c r="G513" s="136">
        <v>295</v>
      </c>
      <c r="H513" s="136">
        <v>295</v>
      </c>
      <c r="I513" s="136">
        <v>295</v>
      </c>
      <c r="J513" s="136">
        <v>295</v>
      </c>
      <c r="K513" s="136">
        <v>295</v>
      </c>
      <c r="L513" s="136">
        <v>295</v>
      </c>
      <c r="M513" s="136">
        <v>295</v>
      </c>
      <c r="N513" s="4">
        <f>SUM(B513:M513)</f>
        <v>3540</v>
      </c>
      <c r="P513" s="76"/>
      <c r="Q513" s="80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  <c r="AC513" s="114"/>
      <c r="AD513" s="114"/>
      <c r="AE513" s="114"/>
      <c r="AF513" s="114"/>
      <c r="AG513" s="114"/>
      <c r="AH513" s="114"/>
    </row>
    <row r="514" spans="1:34" s="6" customFormat="1" ht="12" customHeight="1">
      <c r="A514" s="301" t="s">
        <v>180</v>
      </c>
      <c r="B514" s="302">
        <f>B515+B516+B520+B521+B524+B537</f>
        <v>5292616.67</v>
      </c>
      <c r="C514" s="302">
        <f aca="true" t="shared" si="103" ref="C514:M514">C515+C516+C520+C521+C524+C537</f>
        <v>5292616.67</v>
      </c>
      <c r="D514" s="302">
        <f t="shared" si="103"/>
        <v>5292616.67</v>
      </c>
      <c r="E514" s="302">
        <f t="shared" si="103"/>
        <v>5292616.67</v>
      </c>
      <c r="F514" s="302">
        <f t="shared" si="103"/>
        <v>6252616.67</v>
      </c>
      <c r="G514" s="302">
        <f t="shared" si="103"/>
        <v>5292616.67</v>
      </c>
      <c r="H514" s="302">
        <f t="shared" si="103"/>
        <v>5386616.67</v>
      </c>
      <c r="I514" s="302">
        <f t="shared" si="103"/>
        <v>5363116.67</v>
      </c>
      <c r="J514" s="302">
        <f t="shared" si="103"/>
        <v>5339616.67</v>
      </c>
      <c r="K514" s="302">
        <f t="shared" si="103"/>
        <v>5339616.67</v>
      </c>
      <c r="L514" s="302">
        <f t="shared" si="103"/>
        <v>5292616.67</v>
      </c>
      <c r="M514" s="302">
        <f t="shared" si="103"/>
        <v>5292620.67</v>
      </c>
      <c r="N514" s="302">
        <f>N515+N516+N520+N521+N524+N537</f>
        <v>64729904.04</v>
      </c>
      <c r="O514" s="65">
        <f>SUM(N515:N516)+N520+N521+N524+N537</f>
        <v>64729904.04</v>
      </c>
      <c r="P514" s="65">
        <f>SUM(B514:I514)</f>
        <v>43465433.36000001</v>
      </c>
      <c r="Q514" s="81"/>
      <c r="R514" s="115"/>
      <c r="S514" s="115">
        <f>SUM(N515:N537)</f>
        <v>80448404.04</v>
      </c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  <c r="AG514" s="115"/>
      <c r="AH514" s="115"/>
    </row>
    <row r="515" spans="1:34" s="5" customFormat="1" ht="12" customHeight="1">
      <c r="A515" s="3" t="s">
        <v>37</v>
      </c>
      <c r="B515" s="136">
        <f>3250000+548667</f>
        <v>3798667</v>
      </c>
      <c r="C515" s="136">
        <f>3250000+548667</f>
        <v>3798667</v>
      </c>
      <c r="D515" s="136">
        <f>3250000+548667</f>
        <v>3798667</v>
      </c>
      <c r="E515" s="136">
        <f>3250000+548667</f>
        <v>3798667</v>
      </c>
      <c r="F515" s="136">
        <f aca="true" t="shared" si="104" ref="F515:M515">3250000+548667</f>
        <v>3798667</v>
      </c>
      <c r="G515" s="136">
        <f t="shared" si="104"/>
        <v>3798667</v>
      </c>
      <c r="H515" s="136">
        <f t="shared" si="104"/>
        <v>3798667</v>
      </c>
      <c r="I515" s="136">
        <f t="shared" si="104"/>
        <v>3798667</v>
      </c>
      <c r="J515" s="136">
        <f t="shared" si="104"/>
        <v>3798667</v>
      </c>
      <c r="K515" s="136">
        <f t="shared" si="104"/>
        <v>3798667</v>
      </c>
      <c r="L515" s="136">
        <f t="shared" si="104"/>
        <v>3798667</v>
      </c>
      <c r="M515" s="136">
        <f t="shared" si="104"/>
        <v>3798667</v>
      </c>
      <c r="N515" s="4">
        <f>SUM(B515:M515)</f>
        <v>45584004</v>
      </c>
      <c r="P515" s="76">
        <f>SUM(B515:I515)</f>
        <v>30389336</v>
      </c>
      <c r="Q515" s="80"/>
      <c r="R515" s="114">
        <f>'[1]Ejecución Indotel'!$BL$94</f>
        <v>1072000</v>
      </c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  <c r="AC515" s="114"/>
      <c r="AD515" s="114"/>
      <c r="AE515" s="114"/>
      <c r="AF515" s="114"/>
      <c r="AG515" s="114"/>
      <c r="AH515" s="114"/>
    </row>
    <row r="516" spans="1:34" s="5" customFormat="1" ht="12" customHeight="1">
      <c r="A516" s="3" t="s">
        <v>38</v>
      </c>
      <c r="B516" s="178">
        <f>SUM(B517:B519)</f>
        <v>1208333</v>
      </c>
      <c r="C516" s="178">
        <f aca="true" t="shared" si="105" ref="C516:L516">SUM(C517:C519)</f>
        <v>1208333</v>
      </c>
      <c r="D516" s="178">
        <f t="shared" si="105"/>
        <v>1208333</v>
      </c>
      <c r="E516" s="178">
        <f t="shared" si="105"/>
        <v>1208333</v>
      </c>
      <c r="F516" s="178">
        <f t="shared" si="105"/>
        <v>1208333</v>
      </c>
      <c r="G516" s="178">
        <f>SUM(G517:G519)</f>
        <v>1208333</v>
      </c>
      <c r="H516" s="178">
        <f t="shared" si="105"/>
        <v>1208333</v>
      </c>
      <c r="I516" s="178">
        <f t="shared" si="105"/>
        <v>1208333</v>
      </c>
      <c r="J516" s="178">
        <f t="shared" si="105"/>
        <v>1208333</v>
      </c>
      <c r="K516" s="178">
        <f t="shared" si="105"/>
        <v>1208333</v>
      </c>
      <c r="L516" s="178">
        <f t="shared" si="105"/>
        <v>1208333</v>
      </c>
      <c r="M516" s="178">
        <f>SUM(M517:M519)</f>
        <v>1208337</v>
      </c>
      <c r="N516" s="178">
        <f>SUM(N517:N519)</f>
        <v>14500000</v>
      </c>
      <c r="O516" s="76">
        <f>SUM(N517:N519)</f>
        <v>14500000</v>
      </c>
      <c r="P516" s="76">
        <f>SUM(B516:I516)</f>
        <v>9666664</v>
      </c>
      <c r="Q516" s="80"/>
      <c r="R516" s="114">
        <f>'[1]Ejecución Indotel'!$BL$95</f>
        <v>446743</v>
      </c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G516" s="114"/>
      <c r="AH516" s="114"/>
    </row>
    <row r="517" spans="1:34" s="5" customFormat="1" ht="12" customHeight="1">
      <c r="A517" s="3" t="s">
        <v>520</v>
      </c>
      <c r="B517" s="178">
        <v>580000</v>
      </c>
      <c r="C517" s="178">
        <v>580000</v>
      </c>
      <c r="D517" s="178">
        <v>580000</v>
      </c>
      <c r="E517" s="178">
        <v>580000</v>
      </c>
      <c r="F517" s="178">
        <v>580000</v>
      </c>
      <c r="G517" s="178">
        <v>580000</v>
      </c>
      <c r="H517" s="178">
        <v>580000</v>
      </c>
      <c r="I517" s="178">
        <v>580000</v>
      </c>
      <c r="J517" s="178">
        <v>580000</v>
      </c>
      <c r="K517" s="178">
        <v>580000</v>
      </c>
      <c r="L517" s="178">
        <v>580000</v>
      </c>
      <c r="M517" s="178">
        <v>580000</v>
      </c>
      <c r="N517" s="4">
        <f t="shared" si="100"/>
        <v>6960000</v>
      </c>
      <c r="P517" s="76"/>
      <c r="Q517" s="80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114"/>
      <c r="AH517" s="114"/>
    </row>
    <row r="518" spans="1:34" s="5" customFormat="1" ht="12" customHeight="1">
      <c r="A518" s="3" t="s">
        <v>521</v>
      </c>
      <c r="B518" s="178">
        <v>290000</v>
      </c>
      <c r="C518" s="178">
        <v>290000</v>
      </c>
      <c r="D518" s="178">
        <v>290000</v>
      </c>
      <c r="E518" s="178">
        <v>290000</v>
      </c>
      <c r="F518" s="178">
        <v>290000</v>
      </c>
      <c r="G518" s="178">
        <v>290000</v>
      </c>
      <c r="H518" s="178">
        <v>290000</v>
      </c>
      <c r="I518" s="178">
        <v>290000</v>
      </c>
      <c r="J518" s="178">
        <v>290000</v>
      </c>
      <c r="K518" s="178">
        <v>290000</v>
      </c>
      <c r="L518" s="178">
        <v>290000</v>
      </c>
      <c r="M518" s="178">
        <v>290000</v>
      </c>
      <c r="N518" s="4">
        <f t="shared" si="100"/>
        <v>3480000</v>
      </c>
      <c r="P518" s="76"/>
      <c r="Q518" s="80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114"/>
      <c r="AH518" s="114"/>
    </row>
    <row r="519" spans="1:34" s="5" customFormat="1" ht="12" customHeight="1">
      <c r="A519" s="3" t="s">
        <v>689</v>
      </c>
      <c r="B519" s="178">
        <v>338333</v>
      </c>
      <c r="C519" s="178">
        <v>338333</v>
      </c>
      <c r="D519" s="178">
        <v>338333</v>
      </c>
      <c r="E519" s="178">
        <v>338333</v>
      </c>
      <c r="F519" s="178">
        <v>338333</v>
      </c>
      <c r="G519" s="178">
        <v>338333</v>
      </c>
      <c r="H519" s="178">
        <v>338333</v>
      </c>
      <c r="I519" s="178">
        <v>338333</v>
      </c>
      <c r="J519" s="178">
        <v>338333</v>
      </c>
      <c r="K519" s="178">
        <v>338333</v>
      </c>
      <c r="L519" s="178">
        <v>338333</v>
      </c>
      <c r="M519" s="178">
        <v>338337</v>
      </c>
      <c r="N519" s="4">
        <f t="shared" si="100"/>
        <v>4060000</v>
      </c>
      <c r="P519" s="76"/>
      <c r="Q519" s="80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114"/>
      <c r="AH519" s="114"/>
    </row>
    <row r="520" spans="1:34" s="5" customFormat="1" ht="12" customHeight="1">
      <c r="A520" s="3" t="s">
        <v>796</v>
      </c>
      <c r="B520" s="178">
        <v>118950</v>
      </c>
      <c r="C520" s="178">
        <v>118950</v>
      </c>
      <c r="D520" s="178">
        <v>118950</v>
      </c>
      <c r="E520" s="178">
        <v>118950</v>
      </c>
      <c r="F520" s="178">
        <v>118950</v>
      </c>
      <c r="G520" s="178">
        <v>118950</v>
      </c>
      <c r="H520" s="178">
        <v>118950</v>
      </c>
      <c r="I520" s="178">
        <v>118950</v>
      </c>
      <c r="J520" s="178">
        <v>118950</v>
      </c>
      <c r="K520" s="178">
        <v>118950</v>
      </c>
      <c r="L520" s="178">
        <v>118950</v>
      </c>
      <c r="M520" s="178">
        <v>118950</v>
      </c>
      <c r="N520" s="4">
        <f t="shared" si="100"/>
        <v>1427400</v>
      </c>
      <c r="P520" s="76"/>
      <c r="Q520" s="80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114"/>
      <c r="AH520" s="114"/>
    </row>
    <row r="521" spans="1:34" s="5" customFormat="1" ht="12" customHeight="1" hidden="1">
      <c r="A521" s="3" t="s">
        <v>641</v>
      </c>
      <c r="B521" s="136"/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  <c r="M521" s="136"/>
      <c r="N521" s="4">
        <f t="shared" si="100"/>
        <v>0</v>
      </c>
      <c r="P521" s="76">
        <f>SUM(B521:I521)</f>
        <v>0</v>
      </c>
      <c r="Q521" s="80"/>
      <c r="R521" s="114">
        <f>'[1]Ejecución Indotel'!$BL$96</f>
        <v>16666</v>
      </c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114"/>
      <c r="AH521" s="114"/>
    </row>
    <row r="522" spans="1:34" s="5" customFormat="1" ht="12" customHeight="1" hidden="1">
      <c r="A522" s="3" t="s">
        <v>530</v>
      </c>
      <c r="B522" s="136"/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  <c r="M522" s="136"/>
      <c r="N522" s="4">
        <f t="shared" si="100"/>
        <v>0</v>
      </c>
      <c r="P522" s="76"/>
      <c r="Q522" s="80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114"/>
      <c r="AH522" s="114"/>
    </row>
    <row r="523" spans="1:34" s="5" customFormat="1" ht="12" customHeight="1" hidden="1">
      <c r="A523" s="3" t="s">
        <v>797</v>
      </c>
      <c r="B523" s="136"/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  <c r="M523" s="136"/>
      <c r="N523" s="4">
        <f t="shared" si="100"/>
        <v>0</v>
      </c>
      <c r="P523" s="76"/>
      <c r="Q523" s="80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114"/>
      <c r="AH523" s="114"/>
    </row>
    <row r="524" spans="1:34" s="5" customFormat="1" ht="12" customHeight="1">
      <c r="A524" s="3" t="s">
        <v>531</v>
      </c>
      <c r="B524" s="136">
        <f aca="true" t="shared" si="106" ref="B524:M524">SUM(B525:B536)</f>
        <v>0</v>
      </c>
      <c r="C524" s="136">
        <f t="shared" si="106"/>
        <v>0</v>
      </c>
      <c r="D524" s="136">
        <f t="shared" si="106"/>
        <v>0</v>
      </c>
      <c r="E524" s="136">
        <f t="shared" si="106"/>
        <v>0</v>
      </c>
      <c r="F524" s="136">
        <f t="shared" si="106"/>
        <v>960000</v>
      </c>
      <c r="G524" s="136">
        <f t="shared" si="106"/>
        <v>0</v>
      </c>
      <c r="H524" s="136">
        <f t="shared" si="106"/>
        <v>94000</v>
      </c>
      <c r="I524" s="136">
        <f t="shared" si="106"/>
        <v>70500</v>
      </c>
      <c r="J524" s="136">
        <f t="shared" si="106"/>
        <v>47000</v>
      </c>
      <c r="K524" s="136">
        <f t="shared" si="106"/>
        <v>47000</v>
      </c>
      <c r="L524" s="136">
        <f t="shared" si="106"/>
        <v>0</v>
      </c>
      <c r="M524" s="136">
        <f t="shared" si="106"/>
        <v>0</v>
      </c>
      <c r="N524" s="4">
        <f t="shared" si="100"/>
        <v>1218500</v>
      </c>
      <c r="P524" s="76">
        <f>SUM(B524:I524)</f>
        <v>1124500</v>
      </c>
      <c r="Q524" s="80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114"/>
      <c r="AH524" s="114"/>
    </row>
    <row r="525" spans="1:34" s="5" customFormat="1" ht="12" customHeight="1">
      <c r="A525" s="1" t="s">
        <v>729</v>
      </c>
      <c r="B525" s="136"/>
      <c r="C525" s="136"/>
      <c r="D525" s="136"/>
      <c r="E525" s="136"/>
      <c r="F525" s="136"/>
      <c r="G525" s="136"/>
      <c r="H525" s="136"/>
      <c r="I525" s="136"/>
      <c r="J525" s="136">
        <v>23500</v>
      </c>
      <c r="K525" s="136"/>
      <c r="L525" s="136"/>
      <c r="M525" s="136"/>
      <c r="N525" s="4">
        <f t="shared" si="100"/>
        <v>23500</v>
      </c>
      <c r="P525" s="76"/>
      <c r="Q525" s="80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114"/>
      <c r="AH525" s="114"/>
    </row>
    <row r="526" spans="1:34" s="24" customFormat="1" ht="12" customHeight="1">
      <c r="A526" s="1" t="s">
        <v>730</v>
      </c>
      <c r="B526" s="136"/>
      <c r="C526" s="136"/>
      <c r="D526" s="136"/>
      <c r="E526" s="136"/>
      <c r="F526" s="136">
        <v>960000</v>
      </c>
      <c r="G526" s="136"/>
      <c r="H526" s="136"/>
      <c r="I526" s="136"/>
      <c r="J526" s="136"/>
      <c r="K526" s="136"/>
      <c r="L526" s="136"/>
      <c r="M526" s="136"/>
      <c r="N526" s="4">
        <f t="shared" si="100"/>
        <v>960000</v>
      </c>
      <c r="P526" s="34"/>
      <c r="Q526" s="69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</row>
    <row r="527" spans="1:34" s="24" customFormat="1" ht="12" customHeight="1">
      <c r="A527" s="1" t="s">
        <v>729</v>
      </c>
      <c r="B527" s="136"/>
      <c r="C527" s="136"/>
      <c r="D527" s="136"/>
      <c r="E527" s="136"/>
      <c r="F527" s="136"/>
      <c r="G527" s="136"/>
      <c r="H527" s="136">
        <v>23500</v>
      </c>
      <c r="I527" s="136"/>
      <c r="J527" s="136"/>
      <c r="K527" s="136"/>
      <c r="L527" s="136"/>
      <c r="M527" s="136"/>
      <c r="N527" s="4">
        <f t="shared" si="100"/>
        <v>23500</v>
      </c>
      <c r="P527" s="34"/>
      <c r="Q527" s="69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</row>
    <row r="528" spans="1:34" s="24" customFormat="1" ht="12" customHeight="1">
      <c r="A528" s="1" t="s">
        <v>729</v>
      </c>
      <c r="B528" s="136"/>
      <c r="C528" s="136"/>
      <c r="D528" s="136"/>
      <c r="E528" s="136"/>
      <c r="F528" s="136"/>
      <c r="G528" s="136"/>
      <c r="H528" s="136">
        <v>23500</v>
      </c>
      <c r="I528" s="136"/>
      <c r="J528" s="136"/>
      <c r="K528" s="136"/>
      <c r="L528" s="136"/>
      <c r="M528" s="136"/>
      <c r="N528" s="4">
        <f t="shared" si="100"/>
        <v>23500</v>
      </c>
      <c r="P528" s="34"/>
      <c r="Q528" s="69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</row>
    <row r="529" spans="1:34" s="24" customFormat="1" ht="12" customHeight="1">
      <c r="A529" s="1" t="s">
        <v>729</v>
      </c>
      <c r="B529" s="136"/>
      <c r="C529" s="136"/>
      <c r="D529" s="136"/>
      <c r="E529" s="136"/>
      <c r="F529" s="136"/>
      <c r="G529" s="136"/>
      <c r="H529" s="136">
        <v>23500</v>
      </c>
      <c r="I529" s="136"/>
      <c r="J529" s="136"/>
      <c r="K529" s="136"/>
      <c r="L529" s="136"/>
      <c r="M529" s="136"/>
      <c r="N529" s="4">
        <f t="shared" si="100"/>
        <v>23500</v>
      </c>
      <c r="P529" s="34"/>
      <c r="Q529" s="69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</row>
    <row r="530" spans="1:34" s="24" customFormat="1" ht="12" customHeight="1">
      <c r="A530" s="1" t="s">
        <v>729</v>
      </c>
      <c r="B530" s="136"/>
      <c r="C530" s="136"/>
      <c r="D530" s="136"/>
      <c r="E530" s="136"/>
      <c r="F530" s="136"/>
      <c r="G530" s="136"/>
      <c r="H530" s="136">
        <v>23500</v>
      </c>
      <c r="I530" s="136"/>
      <c r="J530" s="136"/>
      <c r="K530" s="136"/>
      <c r="L530" s="136"/>
      <c r="M530" s="136"/>
      <c r="N530" s="4">
        <f t="shared" si="100"/>
        <v>23500</v>
      </c>
      <c r="P530" s="34"/>
      <c r="Q530" s="69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</row>
    <row r="531" spans="1:34" s="24" customFormat="1" ht="12" customHeight="1">
      <c r="A531" s="1" t="s">
        <v>729</v>
      </c>
      <c r="B531" s="136"/>
      <c r="C531" s="136"/>
      <c r="D531" s="136"/>
      <c r="E531" s="136"/>
      <c r="F531" s="136"/>
      <c r="G531" s="136"/>
      <c r="H531" s="136"/>
      <c r="I531" s="136">
        <v>23500</v>
      </c>
      <c r="J531" s="136"/>
      <c r="K531" s="136"/>
      <c r="L531" s="136"/>
      <c r="M531" s="136"/>
      <c r="N531" s="4">
        <f t="shared" si="100"/>
        <v>23500</v>
      </c>
      <c r="P531" s="34"/>
      <c r="Q531" s="69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</row>
    <row r="532" spans="1:34" s="24" customFormat="1" ht="12" customHeight="1">
      <c r="A532" s="1" t="s">
        <v>729</v>
      </c>
      <c r="B532" s="136"/>
      <c r="C532" s="136"/>
      <c r="D532" s="136"/>
      <c r="E532" s="136"/>
      <c r="F532" s="136"/>
      <c r="G532" s="136"/>
      <c r="H532" s="136"/>
      <c r="I532" s="136">
        <v>23500</v>
      </c>
      <c r="J532" s="136"/>
      <c r="K532" s="136"/>
      <c r="L532" s="136"/>
      <c r="M532" s="136"/>
      <c r="N532" s="4">
        <f t="shared" si="100"/>
        <v>23500</v>
      </c>
      <c r="P532" s="34"/>
      <c r="Q532" s="69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</row>
    <row r="533" spans="1:34" s="24" customFormat="1" ht="12" customHeight="1">
      <c r="A533" s="1" t="s">
        <v>729</v>
      </c>
      <c r="B533" s="136"/>
      <c r="C533" s="136"/>
      <c r="D533" s="136"/>
      <c r="E533" s="136"/>
      <c r="F533" s="136"/>
      <c r="G533" s="136"/>
      <c r="H533" s="136"/>
      <c r="I533" s="136">
        <v>23500</v>
      </c>
      <c r="J533" s="136"/>
      <c r="K533" s="136"/>
      <c r="L533" s="136"/>
      <c r="M533" s="136"/>
      <c r="N533" s="4">
        <f t="shared" si="100"/>
        <v>23500</v>
      </c>
      <c r="P533" s="34"/>
      <c r="Q533" s="69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</row>
    <row r="534" spans="1:34" s="24" customFormat="1" ht="12" customHeight="1">
      <c r="A534" s="1" t="s">
        <v>729</v>
      </c>
      <c r="B534" s="136"/>
      <c r="C534" s="136"/>
      <c r="D534" s="136"/>
      <c r="E534" s="136"/>
      <c r="F534" s="136"/>
      <c r="G534" s="136"/>
      <c r="H534" s="136"/>
      <c r="I534" s="136"/>
      <c r="J534" s="136">
        <v>23500</v>
      </c>
      <c r="K534" s="136"/>
      <c r="L534" s="136"/>
      <c r="M534" s="136"/>
      <c r="N534" s="4">
        <f t="shared" si="100"/>
        <v>23500</v>
      </c>
      <c r="P534" s="34"/>
      <c r="Q534" s="69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</row>
    <row r="535" spans="1:34" s="24" customFormat="1" ht="12" customHeight="1">
      <c r="A535" s="1" t="s">
        <v>729</v>
      </c>
      <c r="B535" s="136"/>
      <c r="C535" s="136"/>
      <c r="D535" s="136"/>
      <c r="E535" s="136"/>
      <c r="F535" s="136"/>
      <c r="G535" s="136"/>
      <c r="H535" s="136"/>
      <c r="I535" s="136"/>
      <c r="J535" s="136"/>
      <c r="K535" s="136">
        <v>23500</v>
      </c>
      <c r="L535" s="136"/>
      <c r="M535" s="136"/>
      <c r="N535" s="4">
        <f t="shared" si="100"/>
        <v>23500</v>
      </c>
      <c r="P535" s="34"/>
      <c r="Q535" s="69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</row>
    <row r="536" spans="1:34" s="24" customFormat="1" ht="12" customHeight="1">
      <c r="A536" s="1" t="s">
        <v>729</v>
      </c>
      <c r="B536" s="136"/>
      <c r="C536" s="136"/>
      <c r="D536" s="136"/>
      <c r="E536" s="136"/>
      <c r="F536" s="136"/>
      <c r="G536" s="136"/>
      <c r="H536" s="136"/>
      <c r="I536" s="136"/>
      <c r="J536" s="136"/>
      <c r="K536" s="136">
        <v>23500</v>
      </c>
      <c r="L536" s="136"/>
      <c r="M536" s="136"/>
      <c r="N536" s="4">
        <f t="shared" si="100"/>
        <v>23500</v>
      </c>
      <c r="P536" s="34"/>
      <c r="Q536" s="69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</row>
    <row r="537" spans="1:34" s="5" customFormat="1" ht="12" customHeight="1">
      <c r="A537" s="3" t="s">
        <v>147</v>
      </c>
      <c r="B537" s="136">
        <f aca="true" t="shared" si="107" ref="B537:M537">SUM(B538:B538)</f>
        <v>166666.67</v>
      </c>
      <c r="C537" s="136">
        <f t="shared" si="107"/>
        <v>166666.67</v>
      </c>
      <c r="D537" s="136">
        <f t="shared" si="107"/>
        <v>166666.67</v>
      </c>
      <c r="E537" s="136">
        <f t="shared" si="107"/>
        <v>166666.67</v>
      </c>
      <c r="F537" s="136">
        <f t="shared" si="107"/>
        <v>166666.67</v>
      </c>
      <c r="G537" s="136">
        <f t="shared" si="107"/>
        <v>166666.67</v>
      </c>
      <c r="H537" s="136">
        <f t="shared" si="107"/>
        <v>166666.67</v>
      </c>
      <c r="I537" s="136">
        <f t="shared" si="107"/>
        <v>166666.67</v>
      </c>
      <c r="J537" s="136">
        <f t="shared" si="107"/>
        <v>166666.67</v>
      </c>
      <c r="K537" s="136">
        <f t="shared" si="107"/>
        <v>166666.67</v>
      </c>
      <c r="L537" s="136">
        <f t="shared" si="107"/>
        <v>166666.67</v>
      </c>
      <c r="M537" s="136">
        <f t="shared" si="107"/>
        <v>166666.67</v>
      </c>
      <c r="N537" s="4">
        <f t="shared" si="100"/>
        <v>2000000.0399999998</v>
      </c>
      <c r="P537" s="76">
        <f>SUM(B537:I537)</f>
        <v>1333333.36</v>
      </c>
      <c r="Q537" s="80"/>
      <c r="R537" s="114">
        <f>'[1]Ejecución Indotel'!$BL$98</f>
        <v>116666</v>
      </c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114"/>
      <c r="AH537" s="114"/>
    </row>
    <row r="538" spans="1:34" s="5" customFormat="1" ht="12" customHeight="1">
      <c r="A538" s="3" t="s">
        <v>688</v>
      </c>
      <c r="B538" s="136">
        <v>166666.67</v>
      </c>
      <c r="C538" s="136">
        <v>166666.67</v>
      </c>
      <c r="D538" s="136">
        <v>166666.67</v>
      </c>
      <c r="E538" s="136">
        <v>166666.67</v>
      </c>
      <c r="F538" s="136">
        <v>166666.67</v>
      </c>
      <c r="G538" s="136">
        <v>166666.67</v>
      </c>
      <c r="H538" s="136">
        <v>166666.67</v>
      </c>
      <c r="I538" s="136">
        <v>166666.67</v>
      </c>
      <c r="J538" s="136">
        <v>166666.67</v>
      </c>
      <c r="K538" s="136">
        <v>166666.67</v>
      </c>
      <c r="L538" s="136">
        <v>166666.67</v>
      </c>
      <c r="M538" s="136">
        <v>166666.67</v>
      </c>
      <c r="N538" s="4">
        <f t="shared" si="100"/>
        <v>2000000.0399999998</v>
      </c>
      <c r="P538" s="76"/>
      <c r="Q538" s="80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114"/>
      <c r="AH538" s="114"/>
    </row>
    <row r="539" spans="1:34" s="6" customFormat="1" ht="12" customHeight="1">
      <c r="A539" s="301" t="s">
        <v>104</v>
      </c>
      <c r="B539" s="303">
        <f aca="true" t="shared" si="108" ref="B539:M539">SUM(B540:B541)+B542</f>
        <v>12152337.45</v>
      </c>
      <c r="C539" s="303">
        <f t="shared" si="108"/>
        <v>12152337.45</v>
      </c>
      <c r="D539" s="303">
        <f t="shared" si="108"/>
        <v>12152337.45</v>
      </c>
      <c r="E539" s="303">
        <f t="shared" si="108"/>
        <v>12152337.45</v>
      </c>
      <c r="F539" s="303">
        <f t="shared" si="108"/>
        <v>12152337.45</v>
      </c>
      <c r="G539" s="303">
        <f t="shared" si="108"/>
        <v>12152337.45</v>
      </c>
      <c r="H539" s="303">
        <f t="shared" si="108"/>
        <v>12152337.45</v>
      </c>
      <c r="I539" s="303">
        <f t="shared" si="108"/>
        <v>12152337.45</v>
      </c>
      <c r="J539" s="303">
        <f t="shared" si="108"/>
        <v>12152337.45</v>
      </c>
      <c r="K539" s="303">
        <f t="shared" si="108"/>
        <v>12152337.45</v>
      </c>
      <c r="L539" s="303">
        <f t="shared" si="108"/>
        <v>12152337.45</v>
      </c>
      <c r="M539" s="303">
        <f t="shared" si="108"/>
        <v>12152337.45</v>
      </c>
      <c r="N539" s="303">
        <f>N542+N540+N541+N548</f>
        <v>145828049.4</v>
      </c>
      <c r="O539" s="65">
        <f>N540+N541+N542+N548</f>
        <v>145828049.40000004</v>
      </c>
      <c r="P539" s="76">
        <f aca="true" t="shared" si="109" ref="P539:P544">SUM(B539:I539)</f>
        <v>97218699.60000001</v>
      </c>
      <c r="Q539" s="81"/>
      <c r="R539" s="115"/>
      <c r="S539" s="115">
        <f>SUM(N540:N542)</f>
        <v>140328049.32000002</v>
      </c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  <c r="AG539" s="115"/>
      <c r="AH539" s="115"/>
    </row>
    <row r="540" spans="1:34" s="5" customFormat="1" ht="12" customHeight="1">
      <c r="A540" s="3" t="s">
        <v>105</v>
      </c>
      <c r="B540" s="136">
        <v>333333.34</v>
      </c>
      <c r="C540" s="136">
        <v>333333.34</v>
      </c>
      <c r="D540" s="136">
        <v>333333.34</v>
      </c>
      <c r="E540" s="136">
        <v>333333.34</v>
      </c>
      <c r="F540" s="136">
        <v>333333.34</v>
      </c>
      <c r="G540" s="136">
        <v>333333.34</v>
      </c>
      <c r="H540" s="136">
        <v>333333.34</v>
      </c>
      <c r="I540" s="136">
        <v>333333.34</v>
      </c>
      <c r="J540" s="136">
        <v>333333.34</v>
      </c>
      <c r="K540" s="136">
        <v>333333.34</v>
      </c>
      <c r="L540" s="136">
        <v>333333.34</v>
      </c>
      <c r="M540" s="136">
        <v>333333.34</v>
      </c>
      <c r="N540" s="4">
        <f t="shared" si="100"/>
        <v>4000000.0799999996</v>
      </c>
      <c r="P540" s="76">
        <f t="shared" si="109"/>
        <v>2666666.72</v>
      </c>
      <c r="Q540" s="80"/>
      <c r="R540" s="114">
        <f>'[1]Ejecución Indotel'!$BL$100</f>
        <v>52083</v>
      </c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114"/>
      <c r="AH540" s="114"/>
    </row>
    <row r="541" spans="1:34" s="5" customFormat="1" ht="12" customHeight="1">
      <c r="A541" s="3" t="s">
        <v>186</v>
      </c>
      <c r="B541" s="136">
        <v>525000</v>
      </c>
      <c r="C541" s="136">
        <v>525000</v>
      </c>
      <c r="D541" s="136">
        <v>525000</v>
      </c>
      <c r="E541" s="136">
        <v>525000</v>
      </c>
      <c r="F541" s="136">
        <v>525000</v>
      </c>
      <c r="G541" s="136">
        <v>525000</v>
      </c>
      <c r="H541" s="136">
        <v>525000</v>
      </c>
      <c r="I541" s="136">
        <v>525000</v>
      </c>
      <c r="J541" s="136">
        <v>525000</v>
      </c>
      <c r="K541" s="136">
        <v>525000</v>
      </c>
      <c r="L541" s="136">
        <v>525000</v>
      </c>
      <c r="M541" s="136">
        <v>525000</v>
      </c>
      <c r="N541" s="4">
        <f t="shared" si="100"/>
        <v>6300000</v>
      </c>
      <c r="P541" s="76">
        <f t="shared" si="109"/>
        <v>4200000</v>
      </c>
      <c r="Q541" s="80"/>
      <c r="R541" s="114">
        <f>'[1]Ejecución Indotel'!$BL$101</f>
        <v>223750</v>
      </c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114"/>
      <c r="AH541" s="114"/>
    </row>
    <row r="542" spans="1:34" s="6" customFormat="1" ht="12" customHeight="1">
      <c r="A542" s="15" t="s">
        <v>179</v>
      </c>
      <c r="B542" s="16">
        <f aca="true" t="shared" si="110" ref="B542:M542">B543+B544+B548</f>
        <v>11294004.11</v>
      </c>
      <c r="C542" s="16">
        <f t="shared" si="110"/>
        <v>11294004.11</v>
      </c>
      <c r="D542" s="16">
        <f t="shared" si="110"/>
        <v>11294004.11</v>
      </c>
      <c r="E542" s="16">
        <f t="shared" si="110"/>
        <v>11294004.11</v>
      </c>
      <c r="F542" s="16">
        <f t="shared" si="110"/>
        <v>11294004.11</v>
      </c>
      <c r="G542" s="16">
        <f t="shared" si="110"/>
        <v>11294004.11</v>
      </c>
      <c r="H542" s="16">
        <f t="shared" si="110"/>
        <v>11294004.11</v>
      </c>
      <c r="I542" s="16">
        <f t="shared" si="110"/>
        <v>11294004.11</v>
      </c>
      <c r="J542" s="16">
        <f t="shared" si="110"/>
        <v>11294004.11</v>
      </c>
      <c r="K542" s="16">
        <f t="shared" si="110"/>
        <v>11294004.11</v>
      </c>
      <c r="L542" s="16">
        <f t="shared" si="110"/>
        <v>11294004.11</v>
      </c>
      <c r="M542" s="16">
        <f t="shared" si="110"/>
        <v>11294004.11</v>
      </c>
      <c r="N542" s="16">
        <f>N543+N544</f>
        <v>130028049.24000001</v>
      </c>
      <c r="O542" s="65">
        <f>N543+N544</f>
        <v>130028049.24000001</v>
      </c>
      <c r="P542" s="76">
        <f t="shared" si="109"/>
        <v>90352032.88</v>
      </c>
      <c r="Q542" s="81"/>
      <c r="R542" s="115"/>
      <c r="S542" s="115"/>
      <c r="T542" s="115">
        <f>S543+S544</f>
        <v>135528049.32000002</v>
      </c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  <c r="AG542" s="115"/>
      <c r="AH542" s="115"/>
    </row>
    <row r="543" spans="1:34" s="5" customFormat="1" ht="12" customHeight="1">
      <c r="A543" s="3" t="s">
        <v>106</v>
      </c>
      <c r="B543" s="136">
        <v>458333.34</v>
      </c>
      <c r="C543" s="136">
        <v>458333.34</v>
      </c>
      <c r="D543" s="136">
        <v>458333.34</v>
      </c>
      <c r="E543" s="136">
        <v>458333.34</v>
      </c>
      <c r="F543" s="136">
        <v>458333.34</v>
      </c>
      <c r="G543" s="136">
        <v>458333.34</v>
      </c>
      <c r="H543" s="136">
        <v>458333.34</v>
      </c>
      <c r="I543" s="136">
        <v>458333.34</v>
      </c>
      <c r="J543" s="136">
        <v>458333.34</v>
      </c>
      <c r="K543" s="136">
        <v>458333.34</v>
      </c>
      <c r="L543" s="136">
        <v>458333.34</v>
      </c>
      <c r="M543" s="136">
        <v>458333.34</v>
      </c>
      <c r="N543" s="4">
        <f>SUM(B543:M543)</f>
        <v>5500000.079999999</v>
      </c>
      <c r="P543" s="76">
        <f t="shared" si="109"/>
        <v>3666666.7199999997</v>
      </c>
      <c r="Q543" s="80"/>
      <c r="R543" s="114">
        <f>'[1]Ejecución Indotel'!$BL$104</f>
        <v>67200</v>
      </c>
      <c r="S543" s="191">
        <f>N543</f>
        <v>5500000.079999999</v>
      </c>
      <c r="T543" s="114"/>
      <c r="U543" s="114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114"/>
      <c r="AH543" s="114"/>
    </row>
    <row r="544" spans="1:34" s="6" customFormat="1" ht="12" customHeight="1">
      <c r="A544" s="15" t="s">
        <v>107</v>
      </c>
      <c r="B544" s="137">
        <f>SUM(B545:B547)</f>
        <v>10377337.43</v>
      </c>
      <c r="C544" s="137">
        <f>SUM(C545:C547)</f>
        <v>10377337.43</v>
      </c>
      <c r="D544" s="137">
        <f aca="true" t="shared" si="111" ref="D544:L544">SUM(D545:D547)</f>
        <v>10377337.43</v>
      </c>
      <c r="E544" s="137">
        <f t="shared" si="111"/>
        <v>10377337.43</v>
      </c>
      <c r="F544" s="137">
        <f t="shared" si="111"/>
        <v>10377337.43</v>
      </c>
      <c r="G544" s="137">
        <f t="shared" si="111"/>
        <v>10377337.43</v>
      </c>
      <c r="H544" s="137">
        <f t="shared" si="111"/>
        <v>10377337.43</v>
      </c>
      <c r="I544" s="137">
        <f t="shared" si="111"/>
        <v>10377337.43</v>
      </c>
      <c r="J544" s="137">
        <f t="shared" si="111"/>
        <v>10377337.43</v>
      </c>
      <c r="K544" s="137">
        <f t="shared" si="111"/>
        <v>10377337.43</v>
      </c>
      <c r="L544" s="137">
        <f t="shared" si="111"/>
        <v>10377337.43</v>
      </c>
      <c r="M544" s="137">
        <f>SUM(M545:M547)</f>
        <v>10377337.43</v>
      </c>
      <c r="N544" s="16">
        <f>SUM(N545:N547)</f>
        <v>124528049.16000001</v>
      </c>
      <c r="P544" s="65">
        <f t="shared" si="109"/>
        <v>83018699.44</v>
      </c>
      <c r="Q544" s="81"/>
      <c r="R544" s="115">
        <f>'[1]Ejecución Indotel'!$BL$105</f>
        <v>1287499</v>
      </c>
      <c r="S544" s="192">
        <f>SUM(N545:N548)</f>
        <v>130028049.24000001</v>
      </c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  <c r="AG544" s="115"/>
      <c r="AH544" s="115"/>
    </row>
    <row r="545" spans="1:34" s="5" customFormat="1" ht="12" customHeight="1">
      <c r="A545" s="3" t="s">
        <v>272</v>
      </c>
      <c r="B545" s="136">
        <v>5833333.34</v>
      </c>
      <c r="C545" s="136">
        <v>5833333.34</v>
      </c>
      <c r="D545" s="136">
        <v>5833333.34</v>
      </c>
      <c r="E545" s="136">
        <v>5833333.34</v>
      </c>
      <c r="F545" s="136">
        <v>5833333.34</v>
      </c>
      <c r="G545" s="136">
        <v>5833333.34</v>
      </c>
      <c r="H545" s="136">
        <v>5833333.34</v>
      </c>
      <c r="I545" s="136">
        <v>5833333.34</v>
      </c>
      <c r="J545" s="136">
        <v>5833333.34</v>
      </c>
      <c r="K545" s="136">
        <v>5833333.34</v>
      </c>
      <c r="L545" s="136">
        <v>5833333.34</v>
      </c>
      <c r="M545" s="136">
        <v>5833333.34</v>
      </c>
      <c r="N545" s="4">
        <f>SUM(B545:M545)</f>
        <v>70000000.08000001</v>
      </c>
      <c r="P545" s="76"/>
      <c r="Q545" s="80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114"/>
      <c r="AH545" s="114"/>
    </row>
    <row r="546" spans="1:34" s="5" customFormat="1" ht="12" customHeight="1">
      <c r="A546" s="3" t="s">
        <v>273</v>
      </c>
      <c r="B546" s="136">
        <v>3294004.09</v>
      </c>
      <c r="C546" s="136">
        <v>3294004.09</v>
      </c>
      <c r="D546" s="136">
        <v>3294004.09</v>
      </c>
      <c r="E546" s="136">
        <v>3294004.09</v>
      </c>
      <c r="F546" s="136">
        <v>3294004.09</v>
      </c>
      <c r="G546" s="136">
        <v>3294004.09</v>
      </c>
      <c r="H546" s="136">
        <v>3294004.09</v>
      </c>
      <c r="I546" s="136">
        <v>3294004.09</v>
      </c>
      <c r="J546" s="136">
        <v>3294004.09</v>
      </c>
      <c r="K546" s="136">
        <v>3294004.09</v>
      </c>
      <c r="L546" s="136">
        <v>3294004.09</v>
      </c>
      <c r="M546" s="136">
        <v>3294004.09</v>
      </c>
      <c r="N546" s="4">
        <f>SUM(B546:M546)</f>
        <v>39528049.08</v>
      </c>
      <c r="P546" s="76"/>
      <c r="Q546" s="80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114"/>
      <c r="AH546" s="114"/>
    </row>
    <row r="547" spans="1:34" s="5" customFormat="1" ht="12.75" customHeight="1">
      <c r="A547" s="3" t="s">
        <v>108</v>
      </c>
      <c r="B547" s="136">
        <v>1250000</v>
      </c>
      <c r="C547" s="136">
        <v>1250000</v>
      </c>
      <c r="D547" s="136">
        <v>1250000</v>
      </c>
      <c r="E547" s="136">
        <v>1250000</v>
      </c>
      <c r="F547" s="136">
        <v>1250000</v>
      </c>
      <c r="G547" s="136">
        <v>1250000</v>
      </c>
      <c r="H547" s="136">
        <v>1250000</v>
      </c>
      <c r="I547" s="136">
        <v>1250000</v>
      </c>
      <c r="J547" s="136">
        <v>1250000</v>
      </c>
      <c r="K547" s="136">
        <v>1250000</v>
      </c>
      <c r="L547" s="136">
        <v>1250000</v>
      </c>
      <c r="M547" s="136">
        <v>1250000</v>
      </c>
      <c r="N547" s="4">
        <f t="shared" si="100"/>
        <v>15000000</v>
      </c>
      <c r="P547" s="76">
        <f>SUM(B547:I547)</f>
        <v>10000000</v>
      </c>
      <c r="Q547" s="80"/>
      <c r="R547" s="114">
        <f>'[1]Ejecución Indotel'!$BL$106</f>
        <v>40000</v>
      </c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114"/>
      <c r="AH547" s="114"/>
    </row>
    <row r="548" spans="1:34" s="6" customFormat="1" ht="12" customHeight="1">
      <c r="A548" s="3" t="s">
        <v>191</v>
      </c>
      <c r="B548" s="136">
        <v>458333.34</v>
      </c>
      <c r="C548" s="136">
        <v>458333.34</v>
      </c>
      <c r="D548" s="136">
        <v>458333.34</v>
      </c>
      <c r="E548" s="136">
        <v>458333.34</v>
      </c>
      <c r="F548" s="136">
        <v>458333.34</v>
      </c>
      <c r="G548" s="136">
        <v>458333.34</v>
      </c>
      <c r="H548" s="136">
        <v>458333.34</v>
      </c>
      <c r="I548" s="136">
        <v>458333.34</v>
      </c>
      <c r="J548" s="136">
        <v>458333.34</v>
      </c>
      <c r="K548" s="136">
        <v>458333.34</v>
      </c>
      <c r="L548" s="136">
        <v>458333.34</v>
      </c>
      <c r="M548" s="136">
        <v>458333.34</v>
      </c>
      <c r="N548" s="4">
        <f t="shared" si="100"/>
        <v>5500000.079999999</v>
      </c>
      <c r="P548" s="65">
        <f>SUM(B548:I548)</f>
        <v>3666666.7199999997</v>
      </c>
      <c r="Q548" s="81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  <c r="AG548" s="115"/>
      <c r="AH548" s="115"/>
    </row>
    <row r="549" spans="1:34" s="6" customFormat="1" ht="12" customHeight="1">
      <c r="A549" s="301" t="s">
        <v>801</v>
      </c>
      <c r="B549" s="302">
        <f aca="true" t="shared" si="112" ref="B549:N549">B550+B555+B575+B580</f>
        <v>2136224.11</v>
      </c>
      <c r="C549" s="302">
        <f t="shared" si="112"/>
        <v>1891224.1099999999</v>
      </c>
      <c r="D549" s="302">
        <f t="shared" si="112"/>
        <v>1911224.1099999999</v>
      </c>
      <c r="E549" s="302">
        <f t="shared" si="112"/>
        <v>1836224.1099999999</v>
      </c>
      <c r="F549" s="302">
        <f t="shared" si="112"/>
        <v>1811224.1099999999</v>
      </c>
      <c r="G549" s="302">
        <f t="shared" si="112"/>
        <v>1811224.1099999999</v>
      </c>
      <c r="H549" s="302">
        <f t="shared" si="112"/>
        <v>1811224.1099999999</v>
      </c>
      <c r="I549" s="302">
        <f t="shared" si="112"/>
        <v>1836224.1099999999</v>
      </c>
      <c r="J549" s="302">
        <f t="shared" si="112"/>
        <v>2341224.11</v>
      </c>
      <c r="K549" s="302">
        <f t="shared" si="112"/>
        <v>1911224.1099999999</v>
      </c>
      <c r="L549" s="302">
        <f t="shared" si="112"/>
        <v>1836224.1099999999</v>
      </c>
      <c r="M549" s="302">
        <f t="shared" si="112"/>
        <v>1811224.1099999999</v>
      </c>
      <c r="N549" s="302">
        <f t="shared" si="112"/>
        <v>22944689.319999997</v>
      </c>
      <c r="O549" s="65" t="e">
        <f>N550+#REF!+#REF!+N555+#REF!+N575+N580+N588</f>
        <v>#REF!</v>
      </c>
      <c r="P549" s="76">
        <f>SUM(B549:M549)</f>
        <v>22944689.319999997</v>
      </c>
      <c r="Q549" s="81"/>
      <c r="R549" s="115"/>
      <c r="S549" s="115">
        <f>SUM(N551:N553)</f>
        <v>3240000</v>
      </c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  <c r="AG549" s="115"/>
      <c r="AH549" s="115"/>
    </row>
    <row r="550" spans="1:34" s="6" customFormat="1" ht="12" customHeight="1">
      <c r="A550" s="15" t="s">
        <v>802</v>
      </c>
      <c r="B550" s="137">
        <f aca="true" t="shared" si="113" ref="B550:M550">SUM(B551:B553)</f>
        <v>545000</v>
      </c>
      <c r="C550" s="137">
        <f t="shared" si="113"/>
        <v>245000</v>
      </c>
      <c r="D550" s="137">
        <f t="shared" si="113"/>
        <v>245000</v>
      </c>
      <c r="E550" s="137">
        <f t="shared" si="113"/>
        <v>245000</v>
      </c>
      <c r="F550" s="137">
        <f t="shared" si="113"/>
        <v>245000</v>
      </c>
      <c r="G550" s="137">
        <f t="shared" si="113"/>
        <v>245000</v>
      </c>
      <c r="H550" s="137">
        <f t="shared" si="113"/>
        <v>245000</v>
      </c>
      <c r="I550" s="137">
        <f t="shared" si="113"/>
        <v>245000</v>
      </c>
      <c r="J550" s="137">
        <f t="shared" si="113"/>
        <v>245000</v>
      </c>
      <c r="K550" s="137">
        <f t="shared" si="113"/>
        <v>245000</v>
      </c>
      <c r="L550" s="137">
        <f t="shared" si="113"/>
        <v>245000</v>
      </c>
      <c r="M550" s="137">
        <f t="shared" si="113"/>
        <v>245000</v>
      </c>
      <c r="N550" s="16">
        <f aca="true" t="shared" si="114" ref="N550:N557">SUM(B550:M550)</f>
        <v>3240000</v>
      </c>
      <c r="O550" s="65">
        <f>SUM(N551:N553)</f>
        <v>3240000</v>
      </c>
      <c r="P550" s="76"/>
      <c r="Q550" s="81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  <c r="AG550" s="115"/>
      <c r="AH550" s="115"/>
    </row>
    <row r="551" spans="1:14" ht="12.75">
      <c r="A551" s="298" t="s">
        <v>532</v>
      </c>
      <c r="B551" s="240">
        <v>245000</v>
      </c>
      <c r="C551" s="240">
        <v>245000</v>
      </c>
      <c r="D551" s="240">
        <v>245000</v>
      </c>
      <c r="E551" s="240">
        <v>245000</v>
      </c>
      <c r="F551" s="240">
        <v>245000</v>
      </c>
      <c r="G551" s="240">
        <v>245000</v>
      </c>
      <c r="H551" s="240">
        <v>245000</v>
      </c>
      <c r="I551" s="240">
        <v>245000</v>
      </c>
      <c r="J551" s="240">
        <v>245000</v>
      </c>
      <c r="K551" s="240">
        <v>245000</v>
      </c>
      <c r="L551" s="240">
        <v>245000</v>
      </c>
      <c r="M551" s="240">
        <v>245000</v>
      </c>
      <c r="N551" s="4">
        <f t="shared" si="114"/>
        <v>2940000</v>
      </c>
    </row>
    <row r="552" spans="1:34" s="5" customFormat="1" ht="12" customHeight="1">
      <c r="A552" s="228" t="s">
        <v>804</v>
      </c>
      <c r="B552" s="136"/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  <c r="M552" s="136"/>
      <c r="N552" s="4">
        <f t="shared" si="114"/>
        <v>0</v>
      </c>
      <c r="P552" s="76"/>
      <c r="Q552" s="80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  <c r="AC552" s="114"/>
      <c r="AD552" s="114"/>
      <c r="AE552" s="114"/>
      <c r="AF552" s="114"/>
      <c r="AG552" s="114"/>
      <c r="AH552" s="114"/>
    </row>
    <row r="553" spans="1:34" s="5" customFormat="1" ht="12" customHeight="1">
      <c r="A553" s="228" t="s">
        <v>943</v>
      </c>
      <c r="B553" s="136">
        <v>300000</v>
      </c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4">
        <f t="shared" si="114"/>
        <v>300000</v>
      </c>
      <c r="P553" s="76"/>
      <c r="Q553" s="80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  <c r="AC553" s="114"/>
      <c r="AD553" s="114"/>
      <c r="AE553" s="114"/>
      <c r="AF553" s="114"/>
      <c r="AG553" s="114"/>
      <c r="AH553" s="114"/>
    </row>
    <row r="554" spans="1:34" s="6" customFormat="1" ht="12" customHeight="1">
      <c r="A554" s="228" t="s">
        <v>805</v>
      </c>
      <c r="B554" s="478"/>
      <c r="C554" s="478"/>
      <c r="D554" s="478"/>
      <c r="E554" s="478"/>
      <c r="F554" s="478"/>
      <c r="G554" s="478"/>
      <c r="H554" s="478"/>
      <c r="I554" s="478"/>
      <c r="J554" s="478"/>
      <c r="K554" s="478"/>
      <c r="L554" s="478"/>
      <c r="M554" s="478"/>
      <c r="N554" s="4">
        <f t="shared" si="114"/>
        <v>0</v>
      </c>
      <c r="O554" s="65">
        <f>SUM(N557:N575)</f>
        <v>23921108.81</v>
      </c>
      <c r="P554" s="76">
        <f>SUM(B555:I555)</f>
        <v>9451459.519999998</v>
      </c>
      <c r="Q554" s="81"/>
      <c r="R554" s="115"/>
      <c r="S554" s="115" t="e">
        <f>#REF!+#REF!</f>
        <v>#REF!</v>
      </c>
      <c r="T554" s="115" t="e">
        <f>S554-N555</f>
        <v>#REF!</v>
      </c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  <c r="AG554" s="115"/>
      <c r="AH554" s="115"/>
    </row>
    <row r="555" spans="1:34" s="5" customFormat="1" ht="12" customHeight="1">
      <c r="A555" s="27" t="s">
        <v>803</v>
      </c>
      <c r="B555" s="361">
        <f>B556+B566+B567+B568+B570</f>
        <v>1174557.44</v>
      </c>
      <c r="C555" s="361">
        <f aca="true" t="shared" si="115" ref="C555:L555">C556+C566+C567+C568+C570</f>
        <v>1229557.44</v>
      </c>
      <c r="D555" s="361">
        <f t="shared" si="115"/>
        <v>1249557.44</v>
      </c>
      <c r="E555" s="361">
        <f t="shared" si="115"/>
        <v>1174557.44</v>
      </c>
      <c r="F555" s="361">
        <f t="shared" si="115"/>
        <v>1149557.44</v>
      </c>
      <c r="G555" s="361">
        <f t="shared" si="115"/>
        <v>1149557.44</v>
      </c>
      <c r="H555" s="361">
        <f t="shared" si="115"/>
        <v>1149557.44</v>
      </c>
      <c r="I555" s="361">
        <f t="shared" si="115"/>
        <v>1174557.44</v>
      </c>
      <c r="J555" s="361">
        <f t="shared" si="115"/>
        <v>1679557.44</v>
      </c>
      <c r="K555" s="361">
        <f t="shared" si="115"/>
        <v>1249557.44</v>
      </c>
      <c r="L555" s="361">
        <f t="shared" si="115"/>
        <v>1174557.44</v>
      </c>
      <c r="M555" s="361">
        <f>M556+M566+M567+M568+M570</f>
        <v>1149557.44</v>
      </c>
      <c r="N555" s="480">
        <f>N556+N566+N567+N568+N570</f>
        <v>14704689.279999997</v>
      </c>
      <c r="O555" s="76">
        <f>SUM(N557:N565)</f>
        <v>3969203.08</v>
      </c>
      <c r="P555" s="76"/>
      <c r="Q555" s="80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  <c r="AC555" s="114"/>
      <c r="AD555" s="114"/>
      <c r="AE555" s="114"/>
      <c r="AF555" s="114"/>
      <c r="AG555" s="114"/>
      <c r="AH555" s="114"/>
    </row>
    <row r="556" spans="1:34" s="5" customFormat="1" ht="12" customHeight="1">
      <c r="A556" s="50" t="s">
        <v>813</v>
      </c>
      <c r="B556" s="184">
        <f>SUM(B557:B565)</f>
        <v>317433.58999999997</v>
      </c>
      <c r="C556" s="184">
        <f aca="true" t="shared" si="116" ref="C556:L556">SUM(C557:C565)</f>
        <v>372433.58999999997</v>
      </c>
      <c r="D556" s="184">
        <f t="shared" si="116"/>
        <v>392433.58999999997</v>
      </c>
      <c r="E556" s="184">
        <f t="shared" si="116"/>
        <v>317433.58999999997</v>
      </c>
      <c r="F556" s="184">
        <f t="shared" si="116"/>
        <v>292433.58999999997</v>
      </c>
      <c r="G556" s="184">
        <f t="shared" si="116"/>
        <v>292433.58999999997</v>
      </c>
      <c r="H556" s="184">
        <f t="shared" si="116"/>
        <v>292433.58999999997</v>
      </c>
      <c r="I556" s="184">
        <f t="shared" si="116"/>
        <v>317433.58999999997</v>
      </c>
      <c r="J556" s="184">
        <f t="shared" si="116"/>
        <v>372433.58999999997</v>
      </c>
      <c r="K556" s="184">
        <f t="shared" si="116"/>
        <v>392433.58999999997</v>
      </c>
      <c r="L556" s="184">
        <f t="shared" si="116"/>
        <v>317433.58999999997</v>
      </c>
      <c r="M556" s="184">
        <f>SUM(M557:M565)</f>
        <v>292433.58999999997</v>
      </c>
      <c r="N556" s="240">
        <f t="shared" si="114"/>
        <v>3969203.0799999987</v>
      </c>
      <c r="P556" s="76"/>
      <c r="Q556" s="80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  <c r="AC556" s="114"/>
      <c r="AD556" s="114"/>
      <c r="AE556" s="114"/>
      <c r="AF556" s="114"/>
      <c r="AG556" s="114"/>
      <c r="AH556" s="114"/>
    </row>
    <row r="557" spans="1:34" s="5" customFormat="1" ht="12" customHeight="1">
      <c r="A557" s="228" t="s">
        <v>818</v>
      </c>
      <c r="B557" s="184">
        <v>130000</v>
      </c>
      <c r="C557" s="184">
        <v>130000</v>
      </c>
      <c r="D557" s="184">
        <v>130000</v>
      </c>
      <c r="E557" s="184">
        <v>130000</v>
      </c>
      <c r="F557" s="184">
        <v>130000</v>
      </c>
      <c r="G557" s="184">
        <v>130000</v>
      </c>
      <c r="H557" s="184">
        <v>130000</v>
      </c>
      <c r="I557" s="184">
        <v>130000</v>
      </c>
      <c r="J557" s="184">
        <v>130000</v>
      </c>
      <c r="K557" s="184">
        <v>130000</v>
      </c>
      <c r="L557" s="184">
        <v>130000</v>
      </c>
      <c r="M557" s="184">
        <v>130000</v>
      </c>
      <c r="N557" s="240">
        <f t="shared" si="114"/>
        <v>1560000</v>
      </c>
      <c r="P557" s="76"/>
      <c r="Q557" s="80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  <c r="AC557" s="114"/>
      <c r="AD557" s="114"/>
      <c r="AE557" s="114"/>
      <c r="AF557" s="114"/>
      <c r="AG557" s="114"/>
      <c r="AH557" s="114"/>
    </row>
    <row r="558" spans="1:34" s="5" customFormat="1" ht="12" customHeight="1">
      <c r="A558" s="306" t="s">
        <v>819</v>
      </c>
      <c r="B558" s="184">
        <v>25000</v>
      </c>
      <c r="C558" s="184"/>
      <c r="D558" s="184"/>
      <c r="E558" s="184">
        <v>25000</v>
      </c>
      <c r="F558" s="184"/>
      <c r="G558" s="184"/>
      <c r="H558" s="184"/>
      <c r="I558" s="184">
        <v>25000</v>
      </c>
      <c r="J558" s="184"/>
      <c r="K558" s="184"/>
      <c r="L558" s="184">
        <v>25000</v>
      </c>
      <c r="N558" s="240">
        <f>SUM(B558:L558)</f>
        <v>100000</v>
      </c>
      <c r="P558" s="76"/>
      <c r="Q558" s="80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  <c r="AC558" s="114"/>
      <c r="AD558" s="114"/>
      <c r="AE558" s="114"/>
      <c r="AF558" s="114"/>
      <c r="AG558" s="114"/>
      <c r="AH558" s="114"/>
    </row>
    <row r="559" spans="1:34" s="5" customFormat="1" ht="12" customHeight="1">
      <c r="A559" s="3" t="s">
        <v>820</v>
      </c>
      <c r="B559" s="136">
        <v>55000</v>
      </c>
      <c r="C559" s="136">
        <v>55000</v>
      </c>
      <c r="D559" s="136">
        <v>55000</v>
      </c>
      <c r="E559" s="136">
        <v>55000</v>
      </c>
      <c r="F559" s="136">
        <v>55000</v>
      </c>
      <c r="G559" s="136">
        <v>55000</v>
      </c>
      <c r="H559" s="136">
        <v>55000</v>
      </c>
      <c r="I559" s="136">
        <v>55000</v>
      </c>
      <c r="J559" s="136">
        <v>55000</v>
      </c>
      <c r="K559" s="136">
        <v>55000</v>
      </c>
      <c r="L559" s="136">
        <v>55000</v>
      </c>
      <c r="M559" s="136">
        <v>55000</v>
      </c>
      <c r="N559" s="4">
        <f>SUM(B559:M559)</f>
        <v>660000</v>
      </c>
      <c r="P559" s="76"/>
      <c r="Q559" s="80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  <c r="AC559" s="114"/>
      <c r="AD559" s="114"/>
      <c r="AE559" s="114"/>
      <c r="AF559" s="114"/>
      <c r="AG559" s="114"/>
      <c r="AH559" s="114"/>
    </row>
    <row r="560" spans="1:34" s="5" customFormat="1" ht="12" customHeight="1">
      <c r="A560" s="306" t="s">
        <v>821</v>
      </c>
      <c r="B560" s="184"/>
      <c r="C560" s="184"/>
      <c r="D560" s="184">
        <v>100000</v>
      </c>
      <c r="E560" s="184"/>
      <c r="F560" s="184"/>
      <c r="G560" s="184"/>
      <c r="H560" s="184"/>
      <c r="I560" s="184"/>
      <c r="J560" s="184"/>
      <c r="K560" s="184">
        <v>100000</v>
      </c>
      <c r="L560" s="184"/>
      <c r="N560" s="240">
        <f>SUM(B560:L560)</f>
        <v>200000</v>
      </c>
      <c r="P560" s="76"/>
      <c r="Q560" s="80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  <c r="AC560" s="114"/>
      <c r="AD560" s="114"/>
      <c r="AE560" s="114"/>
      <c r="AF560" s="114"/>
      <c r="AG560" s="114"/>
      <c r="AH560" s="114"/>
    </row>
    <row r="561" spans="1:34" s="5" customFormat="1" ht="12" customHeight="1">
      <c r="A561" s="306" t="s">
        <v>822</v>
      </c>
      <c r="B561" s="184"/>
      <c r="C561" s="184">
        <v>80000</v>
      </c>
      <c r="D561" s="184"/>
      <c r="E561" s="184"/>
      <c r="F561" s="184"/>
      <c r="G561" s="184"/>
      <c r="H561" s="184"/>
      <c r="I561" s="184"/>
      <c r="J561" s="184">
        <v>80000</v>
      </c>
      <c r="K561" s="184"/>
      <c r="L561" s="184"/>
      <c r="N561" s="240">
        <f>SUM(B561:L561)</f>
        <v>160000</v>
      </c>
      <c r="P561" s="76"/>
      <c r="Q561" s="80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  <c r="AC561" s="114"/>
      <c r="AD561" s="114"/>
      <c r="AE561" s="114"/>
      <c r="AF561" s="114"/>
      <c r="AG561" s="114"/>
      <c r="AH561" s="114"/>
    </row>
    <row r="562" spans="1:14" s="75" customFormat="1" ht="12" customHeight="1">
      <c r="A562" s="26" t="s">
        <v>823</v>
      </c>
      <c r="B562" s="184"/>
      <c r="C562" s="184"/>
      <c r="D562" s="184"/>
      <c r="E562" s="184"/>
      <c r="F562" s="184"/>
      <c r="G562" s="184"/>
      <c r="H562" s="184"/>
      <c r="I562" s="184"/>
      <c r="J562" s="184"/>
      <c r="K562" s="184"/>
      <c r="L562" s="184"/>
      <c r="M562" s="184"/>
      <c r="N562" s="240">
        <f>SUM(B562:L562)</f>
        <v>0</v>
      </c>
    </row>
    <row r="563" spans="1:14" s="75" customFormat="1" ht="12" customHeight="1">
      <c r="A563" s="260" t="s">
        <v>824</v>
      </c>
      <c r="B563" s="240">
        <v>33333</v>
      </c>
      <c r="C563" s="240">
        <v>33333</v>
      </c>
      <c r="D563" s="240">
        <v>33333</v>
      </c>
      <c r="E563" s="240">
        <v>33333</v>
      </c>
      <c r="F563" s="240">
        <v>33333</v>
      </c>
      <c r="G563" s="240">
        <v>33333</v>
      </c>
      <c r="H563" s="240">
        <v>33333</v>
      </c>
      <c r="I563" s="240">
        <v>33333</v>
      </c>
      <c r="J563" s="240">
        <v>33333</v>
      </c>
      <c r="K563" s="240">
        <v>33333</v>
      </c>
      <c r="L563" s="240">
        <v>33333</v>
      </c>
      <c r="M563" s="240">
        <v>33333</v>
      </c>
      <c r="N563" s="240">
        <f>SUM(B563:M563)</f>
        <v>399996</v>
      </c>
    </row>
    <row r="564" spans="1:14" s="75" customFormat="1" ht="12" customHeight="1">
      <c r="A564" s="260" t="s">
        <v>825</v>
      </c>
      <c r="B564" s="240">
        <v>16666.67</v>
      </c>
      <c r="C564" s="240">
        <v>16666.67</v>
      </c>
      <c r="D564" s="240">
        <v>16666.67</v>
      </c>
      <c r="E564" s="240">
        <v>16666.67</v>
      </c>
      <c r="F564" s="240">
        <v>16666.67</v>
      </c>
      <c r="G564" s="240">
        <v>16666.67</v>
      </c>
      <c r="H564" s="240">
        <v>16666.67</v>
      </c>
      <c r="I564" s="240">
        <v>16666.67</v>
      </c>
      <c r="J564" s="240">
        <v>16666.67</v>
      </c>
      <c r="K564" s="240">
        <v>16666.67</v>
      </c>
      <c r="L564" s="240">
        <v>16666.67</v>
      </c>
      <c r="M564" s="240">
        <v>16666.67</v>
      </c>
      <c r="N564" s="240">
        <f>SUM(B564:M564)</f>
        <v>200000.03999999992</v>
      </c>
    </row>
    <row r="565" spans="1:34" s="5" customFormat="1" ht="12" customHeight="1">
      <c r="A565" s="260" t="s">
        <v>826</v>
      </c>
      <c r="B565" s="240">
        <v>57433.92</v>
      </c>
      <c r="C565" s="240">
        <v>57433.92</v>
      </c>
      <c r="D565" s="240">
        <v>57433.92</v>
      </c>
      <c r="E565" s="240">
        <v>57433.92</v>
      </c>
      <c r="F565" s="240">
        <v>57433.92</v>
      </c>
      <c r="G565" s="240">
        <v>57433.92</v>
      </c>
      <c r="H565" s="240">
        <v>57433.92</v>
      </c>
      <c r="I565" s="240">
        <v>57433.92</v>
      </c>
      <c r="J565" s="240">
        <v>57433.92</v>
      </c>
      <c r="K565" s="240">
        <v>57433.92</v>
      </c>
      <c r="L565" s="240">
        <v>57433.92</v>
      </c>
      <c r="M565" s="240">
        <v>57433.92</v>
      </c>
      <c r="N565" s="240">
        <f>SUM(B565:M565)</f>
        <v>689207.04</v>
      </c>
      <c r="P565" s="76"/>
      <c r="Q565" s="80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  <c r="AC565" s="114"/>
      <c r="AD565" s="114"/>
      <c r="AE565" s="114"/>
      <c r="AF565" s="114"/>
      <c r="AG565" s="114"/>
      <c r="AH565" s="114"/>
    </row>
    <row r="566" spans="1:34" s="5" customFormat="1" ht="12" customHeight="1">
      <c r="A566" s="50" t="s">
        <v>814</v>
      </c>
      <c r="B566" s="184">
        <v>118950</v>
      </c>
      <c r="C566" s="184">
        <v>118950</v>
      </c>
      <c r="D566" s="184">
        <v>118950</v>
      </c>
      <c r="E566" s="184">
        <v>118950</v>
      </c>
      <c r="F566" s="184">
        <v>118950</v>
      </c>
      <c r="G566" s="184">
        <v>118950</v>
      </c>
      <c r="H566" s="184">
        <v>118950</v>
      </c>
      <c r="I566" s="184">
        <v>118950</v>
      </c>
      <c r="J566" s="184">
        <v>118950</v>
      </c>
      <c r="K566" s="184">
        <v>118950</v>
      </c>
      <c r="L566" s="184">
        <v>118950</v>
      </c>
      <c r="M566" s="184">
        <v>118950</v>
      </c>
      <c r="N566" s="240">
        <f>SUM(B566:M566)</f>
        <v>1427400</v>
      </c>
      <c r="P566" s="76"/>
      <c r="Q566" s="80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  <c r="AC566" s="114"/>
      <c r="AD566" s="114"/>
      <c r="AE566" s="114"/>
      <c r="AF566" s="114"/>
      <c r="AG566" s="114"/>
      <c r="AH566" s="114"/>
    </row>
    <row r="567" spans="1:34" s="5" customFormat="1" ht="12" customHeight="1">
      <c r="A567" s="50" t="s">
        <v>815</v>
      </c>
      <c r="B567" s="184"/>
      <c r="C567" s="184"/>
      <c r="D567" s="184"/>
      <c r="E567" s="184"/>
      <c r="F567" s="184"/>
      <c r="G567" s="184"/>
      <c r="H567" s="184"/>
      <c r="I567" s="184"/>
      <c r="J567" s="184"/>
      <c r="K567" s="184"/>
      <c r="L567" s="184"/>
      <c r="M567" s="184"/>
      <c r="N567" s="240">
        <f>SUM(B567:M567)</f>
        <v>0</v>
      </c>
      <c r="P567" s="76"/>
      <c r="Q567" s="80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  <c r="AC567" s="114"/>
      <c r="AD567" s="114"/>
      <c r="AE567" s="114"/>
      <c r="AF567" s="114"/>
      <c r="AG567" s="114"/>
      <c r="AH567" s="114"/>
    </row>
    <row r="568" spans="1:34" s="5" customFormat="1" ht="12" customHeight="1">
      <c r="A568" s="50" t="s">
        <v>816</v>
      </c>
      <c r="B568" s="184"/>
      <c r="C568" s="184"/>
      <c r="D568" s="184"/>
      <c r="E568" s="184"/>
      <c r="F568" s="184"/>
      <c r="G568" s="184"/>
      <c r="H568" s="184"/>
      <c r="I568" s="184"/>
      <c r="J568" s="184"/>
      <c r="K568" s="184"/>
      <c r="L568" s="184"/>
      <c r="M568" s="184"/>
      <c r="N568" s="240"/>
      <c r="P568" s="76"/>
      <c r="Q568" s="80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  <c r="AC568" s="114"/>
      <c r="AD568" s="114"/>
      <c r="AE568" s="114"/>
      <c r="AF568" s="114"/>
      <c r="AG568" s="114"/>
      <c r="AH568" s="114"/>
    </row>
    <row r="569" spans="1:34" s="5" customFormat="1" ht="12" customHeight="1">
      <c r="A569" s="3" t="s">
        <v>827</v>
      </c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4">
        <f>SUM(B569:M569)</f>
        <v>0</v>
      </c>
      <c r="P569" s="76"/>
      <c r="Q569" s="80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  <c r="AC569" s="114"/>
      <c r="AD569" s="114"/>
      <c r="AE569" s="114"/>
      <c r="AF569" s="114"/>
      <c r="AG569" s="114"/>
      <c r="AH569" s="114"/>
    </row>
    <row r="570" spans="1:34" s="5" customFormat="1" ht="12" customHeight="1">
      <c r="A570" s="50" t="s">
        <v>817</v>
      </c>
      <c r="B570" s="184">
        <f aca="true" t="shared" si="117" ref="B570:M570">SUM(B571:B574)</f>
        <v>738173.8500000001</v>
      </c>
      <c r="C570" s="184">
        <f t="shared" si="117"/>
        <v>738173.8500000001</v>
      </c>
      <c r="D570" s="184">
        <f t="shared" si="117"/>
        <v>738173.8500000001</v>
      </c>
      <c r="E570" s="184">
        <f t="shared" si="117"/>
        <v>738173.8500000001</v>
      </c>
      <c r="F570" s="184">
        <f t="shared" si="117"/>
        <v>738173.8500000001</v>
      </c>
      <c r="G570" s="184">
        <f t="shared" si="117"/>
        <v>738173.8500000001</v>
      </c>
      <c r="H570" s="184">
        <f t="shared" si="117"/>
        <v>738173.8500000001</v>
      </c>
      <c r="I570" s="184">
        <f t="shared" si="117"/>
        <v>738173.8500000001</v>
      </c>
      <c r="J570" s="184">
        <f t="shared" si="117"/>
        <v>1188173.85</v>
      </c>
      <c r="K570" s="184">
        <f t="shared" si="117"/>
        <v>738173.8500000001</v>
      </c>
      <c r="L570" s="184">
        <f t="shared" si="117"/>
        <v>738173.8500000001</v>
      </c>
      <c r="M570" s="184">
        <f t="shared" si="117"/>
        <v>738173.8500000001</v>
      </c>
      <c r="N570" s="240">
        <f>SUM(B570:M570)</f>
        <v>9308086.2</v>
      </c>
      <c r="P570" s="76"/>
      <c r="Q570" s="80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  <c r="AC570" s="114"/>
      <c r="AD570" s="114"/>
      <c r="AE570" s="114"/>
      <c r="AF570" s="114"/>
      <c r="AG570" s="114"/>
      <c r="AH570" s="114"/>
    </row>
    <row r="571" spans="1:14" ht="12.75">
      <c r="A571" s="306" t="s">
        <v>806</v>
      </c>
      <c r="B571" s="184">
        <v>91666.67</v>
      </c>
      <c r="C571" s="184">
        <v>91666.67</v>
      </c>
      <c r="D571" s="184">
        <v>91666.67</v>
      </c>
      <c r="E571" s="184">
        <v>91666.67</v>
      </c>
      <c r="F571" s="184">
        <v>91666.67</v>
      </c>
      <c r="G571" s="184">
        <v>91666.67</v>
      </c>
      <c r="H571" s="184">
        <v>91666.67</v>
      </c>
      <c r="I571" s="184">
        <v>91666.67</v>
      </c>
      <c r="J571" s="184">
        <v>91666.67</v>
      </c>
      <c r="K571" s="184">
        <v>91666.67</v>
      </c>
      <c r="L571" s="184">
        <v>91666.67</v>
      </c>
      <c r="M571" s="184">
        <v>91666.67</v>
      </c>
      <c r="N571" s="240">
        <f>SUM(B571:L571)</f>
        <v>1008333.3700000002</v>
      </c>
    </row>
    <row r="572" spans="1:14" ht="12.75">
      <c r="A572" s="298" t="s">
        <v>828</v>
      </c>
      <c r="B572" s="142">
        <v>646507.18</v>
      </c>
      <c r="C572" s="142">
        <v>646507.18</v>
      </c>
      <c r="D572" s="142">
        <v>646507.18</v>
      </c>
      <c r="E572" s="142">
        <v>646507.18</v>
      </c>
      <c r="F572" s="142">
        <v>646507.18</v>
      </c>
      <c r="G572" s="142">
        <v>646507.18</v>
      </c>
      <c r="H572" s="142">
        <v>646507.18</v>
      </c>
      <c r="I572" s="142">
        <v>646507.18</v>
      </c>
      <c r="J572" s="142">
        <v>646507.18</v>
      </c>
      <c r="K572" s="142">
        <v>646507.18</v>
      </c>
      <c r="L572" s="142">
        <v>646507.18</v>
      </c>
      <c r="M572" s="142">
        <v>646507.18</v>
      </c>
      <c r="N572" s="240">
        <f>SUM(B572:M572)</f>
        <v>7758086.159999999</v>
      </c>
    </row>
    <row r="573" spans="1:14" s="75" customFormat="1" ht="12" customHeight="1">
      <c r="A573" s="298" t="s">
        <v>799</v>
      </c>
      <c r="B573" s="240"/>
      <c r="C573" s="240"/>
      <c r="D573" s="240"/>
      <c r="E573" s="240"/>
      <c r="F573" s="240"/>
      <c r="G573" s="240"/>
      <c r="H573" s="240"/>
      <c r="I573" s="240"/>
      <c r="J573" s="142">
        <f>2*225000</f>
        <v>450000</v>
      </c>
      <c r="K573" s="240"/>
      <c r="L573" s="240"/>
      <c r="M573" s="240"/>
      <c r="N573" s="240">
        <f>SUM(B573:L573)</f>
        <v>450000</v>
      </c>
    </row>
    <row r="574" spans="1:14" s="75" customFormat="1" ht="12" customHeight="1">
      <c r="A574" s="260" t="s">
        <v>799</v>
      </c>
      <c r="B574" s="240"/>
      <c r="C574" s="240"/>
      <c r="D574" s="240"/>
      <c r="E574" s="240"/>
      <c r="F574" s="240"/>
      <c r="G574" s="240"/>
      <c r="H574" s="240"/>
      <c r="I574" s="240"/>
      <c r="J574" s="240"/>
      <c r="K574" s="240"/>
      <c r="L574" s="240"/>
      <c r="M574" s="240"/>
      <c r="N574" s="240">
        <f>SUM(B574:M574)</f>
        <v>0</v>
      </c>
    </row>
    <row r="575" spans="1:34" s="6" customFormat="1" ht="12" customHeight="1">
      <c r="A575" s="260" t="s">
        <v>829</v>
      </c>
      <c r="B575" s="137">
        <f>SUM(B576:B578)</f>
        <v>0</v>
      </c>
      <c r="C575" s="137">
        <f aca="true" t="shared" si="118" ref="C575:M575">SUM(C576:C578)</f>
        <v>0</v>
      </c>
      <c r="D575" s="137">
        <f t="shared" si="118"/>
        <v>0</v>
      </c>
      <c r="E575" s="137">
        <f t="shared" si="118"/>
        <v>0</v>
      </c>
      <c r="F575" s="137">
        <f t="shared" si="118"/>
        <v>0</v>
      </c>
      <c r="G575" s="137">
        <f t="shared" si="118"/>
        <v>0</v>
      </c>
      <c r="H575" s="137">
        <f t="shared" si="118"/>
        <v>0</v>
      </c>
      <c r="I575" s="137">
        <f t="shared" si="118"/>
        <v>0</v>
      </c>
      <c r="J575" s="137">
        <f t="shared" si="118"/>
        <v>0</v>
      </c>
      <c r="K575" s="137">
        <f t="shared" si="118"/>
        <v>0</v>
      </c>
      <c r="L575" s="137">
        <f t="shared" si="118"/>
        <v>0</v>
      </c>
      <c r="M575" s="137">
        <f t="shared" si="118"/>
        <v>0</v>
      </c>
      <c r="N575" s="16">
        <f>SUM(B575:M575)</f>
        <v>0</v>
      </c>
      <c r="O575" s="65">
        <f>SUM(N576:N578)</f>
        <v>0</v>
      </c>
      <c r="P575" s="76" t="e">
        <f>SUM(#REF!)</f>
        <v>#REF!</v>
      </c>
      <c r="Q575" s="81"/>
      <c r="R575" s="115">
        <f>'[1]Ejecución Indotel'!$BL$114</f>
        <v>27916</v>
      </c>
      <c r="S575" s="115">
        <f>SUM(N576:N578)</f>
        <v>0</v>
      </c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  <c r="AG575" s="115"/>
      <c r="AH575" s="115"/>
    </row>
    <row r="576" spans="1:34" s="5" customFormat="1" ht="12" customHeight="1" hidden="1">
      <c r="A576" s="15" t="s">
        <v>181</v>
      </c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4">
        <f>SUM(B576:M576)</f>
        <v>0</v>
      </c>
      <c r="P576" s="76"/>
      <c r="Q576" s="80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  <c r="AC576" s="114"/>
      <c r="AD576" s="114"/>
      <c r="AE576" s="114"/>
      <c r="AF576" s="114"/>
      <c r="AG576" s="114"/>
      <c r="AH576" s="114"/>
    </row>
    <row r="577" spans="1:34" s="5" customFormat="1" ht="12" customHeight="1" hidden="1">
      <c r="A577" s="3" t="s">
        <v>329</v>
      </c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4">
        <f>SUM(B577:M577)</f>
        <v>0</v>
      </c>
      <c r="P577" s="76"/>
      <c r="Q577" s="80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  <c r="AC577" s="114"/>
      <c r="AD577" s="114"/>
      <c r="AE577" s="114"/>
      <c r="AF577" s="114"/>
      <c r="AG577" s="114"/>
      <c r="AH577" s="114"/>
    </row>
    <row r="578" spans="1:34" s="5" customFormat="1" ht="12" customHeight="1" hidden="1">
      <c r="A578" s="3" t="s">
        <v>330</v>
      </c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4">
        <f>SUM(B578:M578)</f>
        <v>0</v>
      </c>
      <c r="O578" s="136"/>
      <c r="P578" s="136"/>
      <c r="Q578" s="136"/>
      <c r="R578" s="136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  <c r="AC578" s="114"/>
      <c r="AD578" s="114"/>
      <c r="AE578" s="114"/>
      <c r="AF578" s="114"/>
      <c r="AG578" s="114"/>
      <c r="AH578" s="114"/>
    </row>
    <row r="579" spans="1:34" s="28" customFormat="1" ht="12" customHeight="1">
      <c r="A579" s="3" t="s">
        <v>331</v>
      </c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4"/>
      <c r="O579" s="141"/>
      <c r="P579" s="34">
        <f>SUM(B576:I576)</f>
        <v>0</v>
      </c>
      <c r="Q579" s="68"/>
      <c r="R579" s="117"/>
      <c r="S579" s="117">
        <f>SUM(N582:N588)</f>
        <v>200000.03999999992</v>
      </c>
      <c r="T579" s="117"/>
      <c r="U579" s="117"/>
      <c r="V579" s="117"/>
      <c r="W579" s="117"/>
      <c r="X579" s="117"/>
      <c r="Y579" s="117"/>
      <c r="Z579" s="117"/>
      <c r="AA579" s="117"/>
      <c r="AB579" s="117"/>
      <c r="AC579" s="117"/>
      <c r="AD579" s="117"/>
      <c r="AE579" s="117"/>
      <c r="AF579" s="117"/>
      <c r="AG579" s="117"/>
      <c r="AH579" s="117"/>
    </row>
    <row r="580" spans="1:34" s="5" customFormat="1" ht="12" customHeight="1">
      <c r="A580" s="15" t="s">
        <v>807</v>
      </c>
      <c r="B580" s="137">
        <f aca="true" t="shared" si="119" ref="B580:M580">SUM(B581:B587)</f>
        <v>416666.67</v>
      </c>
      <c r="C580" s="137">
        <f t="shared" si="119"/>
        <v>416666.67</v>
      </c>
      <c r="D580" s="137">
        <f t="shared" si="119"/>
        <v>416666.67</v>
      </c>
      <c r="E580" s="137">
        <f t="shared" si="119"/>
        <v>416666.67</v>
      </c>
      <c r="F580" s="137">
        <f t="shared" si="119"/>
        <v>416666.67</v>
      </c>
      <c r="G580" s="137">
        <f t="shared" si="119"/>
        <v>416666.67</v>
      </c>
      <c r="H580" s="137">
        <f t="shared" si="119"/>
        <v>416666.67</v>
      </c>
      <c r="I580" s="137">
        <f t="shared" si="119"/>
        <v>416666.67</v>
      </c>
      <c r="J580" s="137">
        <f t="shared" si="119"/>
        <v>416666.67</v>
      </c>
      <c r="K580" s="137">
        <f t="shared" si="119"/>
        <v>416666.67</v>
      </c>
      <c r="L580" s="137">
        <f t="shared" si="119"/>
        <v>416666.67</v>
      </c>
      <c r="M580" s="137">
        <f t="shared" si="119"/>
        <v>416666.67</v>
      </c>
      <c r="N580" s="16">
        <f aca="true" t="shared" si="120" ref="N580:N588">SUM(B580:M580)</f>
        <v>5000000.04</v>
      </c>
      <c r="O580" s="66">
        <f>SUM(N581:N587)</f>
        <v>5000000.04</v>
      </c>
      <c r="P580" s="76">
        <f>SUM(B577:I577)</f>
        <v>0</v>
      </c>
      <c r="Q580" s="80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  <c r="AC580" s="114"/>
      <c r="AD580" s="114"/>
      <c r="AE580" s="114"/>
      <c r="AF580" s="114"/>
      <c r="AG580" s="114"/>
      <c r="AH580" s="114"/>
    </row>
    <row r="581" spans="1:34" s="5" customFormat="1" ht="12" customHeight="1">
      <c r="A581" s="3" t="s">
        <v>109</v>
      </c>
      <c r="B581" s="136">
        <v>400000</v>
      </c>
      <c r="C581" s="136">
        <v>400000</v>
      </c>
      <c r="D581" s="136">
        <v>400000</v>
      </c>
      <c r="E581" s="136">
        <v>400000</v>
      </c>
      <c r="F581" s="136">
        <v>400000</v>
      </c>
      <c r="G581" s="136">
        <v>400000</v>
      </c>
      <c r="H581" s="136">
        <v>400000</v>
      </c>
      <c r="I581" s="136">
        <v>400000</v>
      </c>
      <c r="J581" s="136">
        <v>400000</v>
      </c>
      <c r="K581" s="136">
        <v>400000</v>
      </c>
      <c r="L581" s="136">
        <v>400000</v>
      </c>
      <c r="M581" s="136">
        <v>400000</v>
      </c>
      <c r="N581" s="4">
        <f t="shared" si="120"/>
        <v>4800000</v>
      </c>
      <c r="P581" s="76"/>
      <c r="Q581" s="80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  <c r="AC581" s="114"/>
      <c r="AD581" s="114"/>
      <c r="AE581" s="114"/>
      <c r="AF581" s="114"/>
      <c r="AG581" s="114"/>
      <c r="AH581" s="114"/>
    </row>
    <row r="582" spans="1:34" s="5" customFormat="1" ht="12" customHeight="1">
      <c r="A582" s="3" t="s">
        <v>533</v>
      </c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4">
        <f t="shared" si="120"/>
        <v>0</v>
      </c>
      <c r="P582" s="76"/>
      <c r="Q582" s="80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  <c r="AC582" s="114"/>
      <c r="AD582" s="114"/>
      <c r="AE582" s="114"/>
      <c r="AF582" s="114"/>
      <c r="AG582" s="114"/>
      <c r="AH582" s="114"/>
    </row>
    <row r="583" spans="1:34" s="5" customFormat="1" ht="12" customHeight="1">
      <c r="A583" s="3" t="s">
        <v>714</v>
      </c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4">
        <f t="shared" si="120"/>
        <v>0</v>
      </c>
      <c r="P583" s="76"/>
      <c r="Q583" s="80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  <c r="AC583" s="114"/>
      <c r="AD583" s="114"/>
      <c r="AE583" s="114"/>
      <c r="AF583" s="114"/>
      <c r="AG583" s="114"/>
      <c r="AH583" s="114"/>
    </row>
    <row r="584" spans="1:34" s="5" customFormat="1" ht="12" customHeight="1">
      <c r="A584" s="3" t="s">
        <v>830</v>
      </c>
      <c r="B584" s="136">
        <v>16666.67</v>
      </c>
      <c r="C584" s="136">
        <v>16666.67</v>
      </c>
      <c r="D584" s="136">
        <v>16666.67</v>
      </c>
      <c r="E584" s="136">
        <v>16666.67</v>
      </c>
      <c r="F584" s="136">
        <v>16666.67</v>
      </c>
      <c r="G584" s="136">
        <v>16666.67</v>
      </c>
      <c r="H584" s="136">
        <v>16666.67</v>
      </c>
      <c r="I584" s="136">
        <v>16666.67</v>
      </c>
      <c r="J584" s="136">
        <v>16666.67</v>
      </c>
      <c r="K584" s="136">
        <v>16666.67</v>
      </c>
      <c r="L584" s="136">
        <v>16666.67</v>
      </c>
      <c r="M584" s="136">
        <v>16666.67</v>
      </c>
      <c r="N584" s="4">
        <f t="shared" si="120"/>
        <v>200000.03999999992</v>
      </c>
      <c r="P584" s="76"/>
      <c r="Q584" s="80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  <c r="AC584" s="114"/>
      <c r="AD584" s="114"/>
      <c r="AE584" s="114"/>
      <c r="AF584" s="114"/>
      <c r="AG584" s="114"/>
      <c r="AH584" s="114"/>
    </row>
    <row r="585" spans="1:34" s="5" customFormat="1" ht="12" customHeight="1">
      <c r="A585" s="3" t="s">
        <v>247</v>
      </c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4">
        <f t="shared" si="120"/>
        <v>0</v>
      </c>
      <c r="P585" s="76"/>
      <c r="Q585" s="80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  <c r="AC585" s="114"/>
      <c r="AD585" s="114"/>
      <c r="AE585" s="114"/>
      <c r="AF585" s="114"/>
      <c r="AG585" s="114"/>
      <c r="AH585" s="114"/>
    </row>
    <row r="586" spans="1:34" s="5" customFormat="1" ht="12" customHeight="1">
      <c r="A586" s="3" t="s">
        <v>249</v>
      </c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4">
        <f t="shared" si="120"/>
        <v>0</v>
      </c>
      <c r="P586" s="76"/>
      <c r="Q586" s="80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4"/>
      <c r="AF586" s="114"/>
      <c r="AG586" s="114"/>
      <c r="AH586" s="114"/>
    </row>
    <row r="587" spans="1:34" s="5" customFormat="1" ht="12" customHeight="1">
      <c r="A587" s="3" t="s">
        <v>831</v>
      </c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4">
        <f t="shared" si="120"/>
        <v>0</v>
      </c>
      <c r="P587" s="76">
        <f>SUM(B585:I585)</f>
        <v>0</v>
      </c>
      <c r="Q587" s="80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4"/>
      <c r="AF587" s="114"/>
      <c r="AG587" s="114"/>
      <c r="AH587" s="114"/>
    </row>
    <row r="588" spans="1:34" s="28" customFormat="1" ht="12" customHeight="1">
      <c r="A588" s="15" t="s">
        <v>182</v>
      </c>
      <c r="B588" s="136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>
        <f t="shared" si="120"/>
        <v>0</v>
      </c>
      <c r="O588" s="5"/>
      <c r="P588" s="34">
        <f>O589-N589</f>
        <v>0</v>
      </c>
      <c r="Q588" s="68"/>
      <c r="R588" s="117"/>
      <c r="S588" s="117">
        <f>SUM(N590:N668)</f>
        <v>134854980.10000002</v>
      </c>
      <c r="T588" s="117">
        <f>S588+S633</f>
        <v>134854980.10000002</v>
      </c>
      <c r="U588" s="117"/>
      <c r="V588" s="117"/>
      <c r="W588" s="117"/>
      <c r="X588" s="117"/>
      <c r="Y588" s="117"/>
      <c r="Z588" s="117"/>
      <c r="AA588" s="117"/>
      <c r="AB588" s="117"/>
      <c r="AC588" s="117"/>
      <c r="AD588" s="117"/>
      <c r="AE588" s="117"/>
      <c r="AF588" s="117"/>
      <c r="AG588" s="117"/>
      <c r="AH588" s="117"/>
    </row>
    <row r="589" spans="1:34" s="5" customFormat="1" ht="12">
      <c r="A589" s="27" t="s">
        <v>110</v>
      </c>
      <c r="B589" s="137">
        <f aca="true" t="shared" si="121" ref="B589:N589">B590+B591+B592+B599+B634</f>
        <v>4076320.84</v>
      </c>
      <c r="C589" s="137">
        <f t="shared" si="121"/>
        <v>3760820.84</v>
      </c>
      <c r="D589" s="137">
        <f t="shared" si="121"/>
        <v>3582320.84</v>
      </c>
      <c r="E589" s="137">
        <f t="shared" si="121"/>
        <v>8571820.84</v>
      </c>
      <c r="F589" s="137">
        <f t="shared" si="121"/>
        <v>12431073.34</v>
      </c>
      <c r="G589" s="137">
        <f t="shared" si="121"/>
        <v>2367233.3400000003</v>
      </c>
      <c r="H589" s="137">
        <f t="shared" si="121"/>
        <v>5403233.34</v>
      </c>
      <c r="I589" s="137">
        <f t="shared" si="121"/>
        <v>2567233.34</v>
      </c>
      <c r="J589" s="137">
        <f t="shared" si="121"/>
        <v>3931233.34</v>
      </c>
      <c r="K589" s="137">
        <f t="shared" si="121"/>
        <v>2958900.0100000002</v>
      </c>
      <c r="L589" s="137">
        <f t="shared" si="121"/>
        <v>3463400.01</v>
      </c>
      <c r="M589" s="137">
        <f t="shared" si="121"/>
        <v>6468900.01</v>
      </c>
      <c r="N589" s="137">
        <f t="shared" si="121"/>
        <v>59582490.09000002</v>
      </c>
      <c r="O589" s="66">
        <f>N590+N591+N592+N599+N634</f>
        <v>59582490.09000002</v>
      </c>
      <c r="P589" s="76">
        <f>SUM(B587:I587)</f>
        <v>0</v>
      </c>
      <c r="Q589" s="80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  <c r="AC589" s="114"/>
      <c r="AD589" s="114"/>
      <c r="AE589" s="114"/>
      <c r="AF589" s="114"/>
      <c r="AG589" s="114"/>
      <c r="AH589" s="114">
        <f>2500000/12</f>
        <v>208333.33333333334</v>
      </c>
    </row>
    <row r="590" spans="1:34" s="5" customFormat="1" ht="12" customHeight="1">
      <c r="A590" s="26" t="s">
        <v>155</v>
      </c>
      <c r="B590" s="136">
        <v>115000</v>
      </c>
      <c r="C590" s="136">
        <v>115000</v>
      </c>
      <c r="D590" s="136">
        <v>115000</v>
      </c>
      <c r="E590" s="136">
        <v>115000</v>
      </c>
      <c r="F590" s="136">
        <v>115000</v>
      </c>
      <c r="G590" s="136">
        <v>115000</v>
      </c>
      <c r="H590" s="136">
        <v>115000</v>
      </c>
      <c r="I590" s="136">
        <v>115000</v>
      </c>
      <c r="J590" s="136">
        <v>115000</v>
      </c>
      <c r="K590" s="136">
        <v>115000</v>
      </c>
      <c r="L590" s="136">
        <v>115000</v>
      </c>
      <c r="M590" s="136">
        <v>115000</v>
      </c>
      <c r="N590" s="4">
        <f aca="true" t="shared" si="122" ref="N590:N634">SUM(B590:M590)</f>
        <v>1380000</v>
      </c>
      <c r="P590" s="76">
        <f>SUM(B588:I588)</f>
        <v>0</v>
      </c>
      <c r="Q590" s="80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  <c r="AC590" s="114"/>
      <c r="AD590" s="114"/>
      <c r="AE590" s="114"/>
      <c r="AF590" s="114"/>
      <c r="AG590" s="114"/>
      <c r="AH590" s="114"/>
    </row>
    <row r="591" spans="1:34" s="6" customFormat="1" ht="12" customHeight="1">
      <c r="A591" s="26" t="s">
        <v>142</v>
      </c>
      <c r="B591" s="136">
        <v>385000</v>
      </c>
      <c r="C591" s="136">
        <v>385000</v>
      </c>
      <c r="D591" s="136">
        <v>385000</v>
      </c>
      <c r="E591" s="136">
        <v>385000</v>
      </c>
      <c r="F591" s="136">
        <v>385000</v>
      </c>
      <c r="G591" s="136">
        <v>385000</v>
      </c>
      <c r="H591" s="136">
        <v>385000</v>
      </c>
      <c r="I591" s="136">
        <v>385000</v>
      </c>
      <c r="J591" s="136">
        <v>385000</v>
      </c>
      <c r="K591" s="136">
        <v>385000</v>
      </c>
      <c r="L591" s="136">
        <v>385000</v>
      </c>
      <c r="M591" s="136">
        <v>385000</v>
      </c>
      <c r="N591" s="4">
        <f t="shared" si="122"/>
        <v>4620000</v>
      </c>
      <c r="O591" s="5"/>
      <c r="P591" s="65"/>
      <c r="Q591" s="81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  <c r="AG591" s="115"/>
      <c r="AH591" s="115"/>
    </row>
    <row r="592" spans="1:34" s="5" customFormat="1" ht="12" customHeight="1">
      <c r="A592" s="27" t="s">
        <v>534</v>
      </c>
      <c r="B592" s="137">
        <f>SUM(B593+B594+B595)</f>
        <v>93900</v>
      </c>
      <c r="C592" s="137">
        <f aca="true" t="shared" si="123" ref="C592:M592">SUM(C593+C594+C595)</f>
        <v>93900</v>
      </c>
      <c r="D592" s="137">
        <f t="shared" si="123"/>
        <v>93900</v>
      </c>
      <c r="E592" s="137">
        <f t="shared" si="123"/>
        <v>93900</v>
      </c>
      <c r="F592" s="137">
        <f t="shared" si="123"/>
        <v>93900</v>
      </c>
      <c r="G592" s="137">
        <f t="shared" si="123"/>
        <v>93900</v>
      </c>
      <c r="H592" s="137">
        <f t="shared" si="123"/>
        <v>93900</v>
      </c>
      <c r="I592" s="137">
        <f t="shared" si="123"/>
        <v>93900</v>
      </c>
      <c r="J592" s="137">
        <f t="shared" si="123"/>
        <v>93900</v>
      </c>
      <c r="K592" s="137">
        <f t="shared" si="123"/>
        <v>93900</v>
      </c>
      <c r="L592" s="137">
        <f t="shared" si="123"/>
        <v>93900</v>
      </c>
      <c r="M592" s="137">
        <f t="shared" si="123"/>
        <v>93900</v>
      </c>
      <c r="N592" s="16">
        <f t="shared" si="122"/>
        <v>1126800</v>
      </c>
      <c r="O592" s="65">
        <f>N594+N595+N598</f>
        <v>286800</v>
      </c>
      <c r="P592" s="76"/>
      <c r="Q592" s="80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  <c r="AC592" s="114"/>
      <c r="AD592" s="114"/>
      <c r="AE592" s="114"/>
      <c r="AF592" s="114"/>
      <c r="AG592" s="114"/>
      <c r="AH592" s="114"/>
    </row>
    <row r="593" spans="1:34" s="5" customFormat="1" ht="12" customHeight="1">
      <c r="A593" s="26" t="s">
        <v>431</v>
      </c>
      <c r="B593" s="136">
        <v>70000</v>
      </c>
      <c r="C593" s="136">
        <v>70000</v>
      </c>
      <c r="D593" s="136">
        <v>70000</v>
      </c>
      <c r="E593" s="136">
        <v>70000</v>
      </c>
      <c r="F593" s="136">
        <v>70000</v>
      </c>
      <c r="G593" s="136">
        <v>70000</v>
      </c>
      <c r="H593" s="136">
        <v>70000</v>
      </c>
      <c r="I593" s="136">
        <v>70000</v>
      </c>
      <c r="J593" s="136">
        <v>70000</v>
      </c>
      <c r="K593" s="136">
        <v>70000</v>
      </c>
      <c r="L593" s="136">
        <v>70000</v>
      </c>
      <c r="M593" s="136">
        <v>70000</v>
      </c>
      <c r="N593" s="4">
        <f t="shared" si="122"/>
        <v>840000</v>
      </c>
      <c r="O593" s="76"/>
      <c r="P593" s="76"/>
      <c r="Q593" s="80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  <c r="AC593" s="114"/>
      <c r="AD593" s="114"/>
      <c r="AE593" s="114"/>
      <c r="AF593" s="114"/>
      <c r="AG593" s="114"/>
      <c r="AH593" s="114"/>
    </row>
    <row r="594" spans="1:34" s="5" customFormat="1" ht="12" customHeight="1">
      <c r="A594" s="26" t="s">
        <v>535</v>
      </c>
      <c r="B594" s="136">
        <v>3900</v>
      </c>
      <c r="C594" s="136">
        <v>3900</v>
      </c>
      <c r="D594" s="136">
        <v>3900</v>
      </c>
      <c r="E594" s="136">
        <v>3900</v>
      </c>
      <c r="F594" s="136">
        <v>3900</v>
      </c>
      <c r="G594" s="136">
        <v>3900</v>
      </c>
      <c r="H594" s="136">
        <v>3900</v>
      </c>
      <c r="I594" s="136">
        <v>3900</v>
      </c>
      <c r="J594" s="136">
        <v>3900</v>
      </c>
      <c r="K594" s="136">
        <v>3900</v>
      </c>
      <c r="L594" s="136">
        <v>3900</v>
      </c>
      <c r="M594" s="136">
        <v>3900</v>
      </c>
      <c r="N594" s="4">
        <f t="shared" si="122"/>
        <v>46800</v>
      </c>
      <c r="P594" s="76">
        <f>SUM(B595:I595)</f>
        <v>160000</v>
      </c>
      <c r="Q594" s="80"/>
      <c r="R594" s="114">
        <f>'[1]Ejecución Indotel'!$BL$57</f>
        <v>92000</v>
      </c>
      <c r="S594" s="114">
        <f>SUM(N596:N598)</f>
        <v>0</v>
      </c>
      <c r="T594" s="114"/>
      <c r="U594" s="114"/>
      <c r="V594" s="114"/>
      <c r="W594" s="114"/>
      <c r="X594" s="114"/>
      <c r="Y594" s="114"/>
      <c r="Z594" s="114"/>
      <c r="AA594" s="114"/>
      <c r="AB594" s="114"/>
      <c r="AC594" s="114"/>
      <c r="AD594" s="114"/>
      <c r="AE594" s="114"/>
      <c r="AF594" s="114"/>
      <c r="AG594" s="114"/>
      <c r="AH594" s="114"/>
    </row>
    <row r="595" spans="1:34" s="5" customFormat="1" ht="12" hidden="1">
      <c r="A595" s="3" t="s">
        <v>536</v>
      </c>
      <c r="B595" s="136">
        <v>20000</v>
      </c>
      <c r="C595" s="136">
        <v>20000</v>
      </c>
      <c r="D595" s="136">
        <v>20000</v>
      </c>
      <c r="E595" s="136">
        <v>20000</v>
      </c>
      <c r="F595" s="136">
        <v>20000</v>
      </c>
      <c r="G595" s="136">
        <v>20000</v>
      </c>
      <c r="H595" s="136">
        <v>20000</v>
      </c>
      <c r="I595" s="136">
        <v>20000</v>
      </c>
      <c r="J595" s="136">
        <v>20000</v>
      </c>
      <c r="K595" s="136">
        <v>20000</v>
      </c>
      <c r="L595" s="136">
        <v>20000</v>
      </c>
      <c r="M595" s="136">
        <v>20000</v>
      </c>
      <c r="N595" s="4">
        <f t="shared" si="122"/>
        <v>240000</v>
      </c>
      <c r="O595" s="76"/>
      <c r="P595" s="76"/>
      <c r="Q595" s="80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  <c r="AC595" s="114"/>
      <c r="AD595" s="114"/>
      <c r="AE595" s="114"/>
      <c r="AF595" s="114"/>
      <c r="AG595" s="114"/>
      <c r="AH595" s="114"/>
    </row>
    <row r="596" spans="1:34" s="5" customFormat="1" ht="12" customHeight="1" hidden="1">
      <c r="A596" s="3" t="s">
        <v>323</v>
      </c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4">
        <f t="shared" si="122"/>
        <v>0</v>
      </c>
      <c r="O596" s="65">
        <f>SUM(N596:N598)</f>
        <v>0</v>
      </c>
      <c r="P596" s="76"/>
      <c r="Q596" s="80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  <c r="AC596" s="114"/>
      <c r="AD596" s="114"/>
      <c r="AE596" s="114"/>
      <c r="AF596" s="114"/>
      <c r="AG596" s="114"/>
      <c r="AH596" s="114"/>
    </row>
    <row r="597" spans="1:34" s="6" customFormat="1" ht="12" customHeight="1" hidden="1">
      <c r="A597" s="3" t="s">
        <v>300</v>
      </c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4">
        <f t="shared" si="122"/>
        <v>0</v>
      </c>
      <c r="O597" s="65"/>
      <c r="P597" s="65"/>
      <c r="Q597" s="81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  <c r="AG597" s="115"/>
      <c r="AH597" s="115"/>
    </row>
    <row r="598" spans="1:34" s="6" customFormat="1" ht="12" customHeight="1">
      <c r="A598" s="15" t="s">
        <v>431</v>
      </c>
      <c r="B598" s="137"/>
      <c r="C598" s="137"/>
      <c r="D598" s="137"/>
      <c r="E598" s="137"/>
      <c r="F598" s="137"/>
      <c r="G598" s="137"/>
      <c r="H598" s="137"/>
      <c r="I598" s="137"/>
      <c r="J598" s="137"/>
      <c r="K598" s="137"/>
      <c r="L598" s="137"/>
      <c r="M598" s="137"/>
      <c r="N598" s="16">
        <f t="shared" si="122"/>
        <v>0</v>
      </c>
      <c r="O598" s="65"/>
      <c r="P598" s="76">
        <f>SUM(B596:I596)</f>
        <v>0</v>
      </c>
      <c r="Q598" s="81"/>
      <c r="R598" s="116"/>
      <c r="S598" s="117">
        <f>SUM(N600:N627)+N633</f>
        <v>25575690.05</v>
      </c>
      <c r="T598" s="117"/>
      <c r="U598" s="117"/>
      <c r="V598" s="117"/>
      <c r="W598" s="117"/>
      <c r="X598" s="117"/>
      <c r="Y598" s="117"/>
      <c r="Z598" s="117"/>
      <c r="AA598" s="117"/>
      <c r="AB598" s="117"/>
      <c r="AC598" s="117"/>
      <c r="AD598" s="117"/>
      <c r="AE598" s="117"/>
      <c r="AF598" s="117"/>
      <c r="AG598" s="117"/>
      <c r="AH598" s="115"/>
    </row>
    <row r="599" spans="1:34" s="160" customFormat="1" ht="12">
      <c r="A599" s="15" t="s">
        <v>290</v>
      </c>
      <c r="B599" s="137">
        <f aca="true" t="shared" si="124" ref="B599:M599">SUM(B600:B628)</f>
        <v>355754.17</v>
      </c>
      <c r="C599" s="137">
        <f t="shared" si="124"/>
        <v>1500254.17</v>
      </c>
      <c r="D599" s="137">
        <f t="shared" si="124"/>
        <v>355754.17</v>
      </c>
      <c r="E599" s="137">
        <f t="shared" si="124"/>
        <v>6311254.17</v>
      </c>
      <c r="F599" s="137">
        <f t="shared" si="124"/>
        <v>8916506.67</v>
      </c>
      <c r="G599" s="137">
        <f t="shared" si="124"/>
        <v>106666.67</v>
      </c>
      <c r="H599" s="137">
        <f t="shared" si="124"/>
        <v>2406666.67</v>
      </c>
      <c r="I599" s="137">
        <f t="shared" si="124"/>
        <v>306666.67</v>
      </c>
      <c r="J599" s="137">
        <f t="shared" si="124"/>
        <v>106666.67</v>
      </c>
      <c r="K599" s="137">
        <f t="shared" si="124"/>
        <v>698333.3400000001</v>
      </c>
      <c r="L599" s="137">
        <f t="shared" si="124"/>
        <v>302833.33999999997</v>
      </c>
      <c r="M599" s="137">
        <f t="shared" si="124"/>
        <v>4208333.34</v>
      </c>
      <c r="N599" s="16">
        <f t="shared" si="122"/>
        <v>25575690.05000001</v>
      </c>
      <c r="O599" s="65">
        <f>SUM(N600:N628)</f>
        <v>25575690.05</v>
      </c>
      <c r="P599" s="124">
        <f>SUM(B597:I597)</f>
        <v>0</v>
      </c>
      <c r="Q599" s="161"/>
      <c r="R599" s="162">
        <f>'[1]Ejecución Indotel'!$BL$66</f>
        <v>0</v>
      </c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</row>
    <row r="600" spans="1:34" s="160" customFormat="1" ht="12">
      <c r="A600" s="26" t="s">
        <v>271</v>
      </c>
      <c r="B600" s="158"/>
      <c r="C600" s="159">
        <v>100000</v>
      </c>
      <c r="D600" s="163"/>
      <c r="E600" s="159">
        <v>4711000</v>
      </c>
      <c r="F600" s="159"/>
      <c r="G600" s="159"/>
      <c r="H600" s="159"/>
      <c r="I600" s="159"/>
      <c r="J600" s="159"/>
      <c r="K600" s="159"/>
      <c r="L600" s="159"/>
      <c r="M600" s="159"/>
      <c r="N600" s="159">
        <f t="shared" si="122"/>
        <v>4811000</v>
      </c>
      <c r="O600" s="164">
        <f>SUM(B597:M597)</f>
        <v>0</v>
      </c>
      <c r="P600" s="124"/>
      <c r="Q600" s="161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</row>
    <row r="601" spans="1:34" s="160" customFormat="1" ht="12">
      <c r="A601" s="152" t="s">
        <v>855</v>
      </c>
      <c r="B601" s="158"/>
      <c r="C601" s="159"/>
      <c r="D601" s="163"/>
      <c r="E601" s="159">
        <v>94500</v>
      </c>
      <c r="F601" s="159"/>
      <c r="G601" s="159"/>
      <c r="H601" s="159"/>
      <c r="I601" s="159"/>
      <c r="J601" s="159"/>
      <c r="K601" s="159"/>
      <c r="L601" s="159"/>
      <c r="M601" s="159"/>
      <c r="N601" s="159">
        <f t="shared" si="122"/>
        <v>94500</v>
      </c>
      <c r="O601" s="164"/>
      <c r="P601" s="124"/>
      <c r="Q601" s="161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</row>
    <row r="602" spans="1:34" s="160" customFormat="1" ht="12">
      <c r="A602" s="152" t="s">
        <v>856</v>
      </c>
      <c r="B602" s="158"/>
      <c r="C602" s="159">
        <v>94500</v>
      </c>
      <c r="D602" s="163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>
        <f t="shared" si="122"/>
        <v>94500</v>
      </c>
      <c r="O602" s="164"/>
      <c r="P602" s="124"/>
      <c r="Q602" s="161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</row>
    <row r="603" spans="1:34" s="160" customFormat="1" ht="12">
      <c r="A603" s="152" t="s">
        <v>857</v>
      </c>
      <c r="B603" s="158"/>
      <c r="C603" s="159"/>
      <c r="D603" s="163"/>
      <c r="E603" s="159"/>
      <c r="F603" s="159">
        <v>94500</v>
      </c>
      <c r="G603" s="159"/>
      <c r="H603" s="159"/>
      <c r="I603" s="159"/>
      <c r="J603" s="159"/>
      <c r="K603" s="159"/>
      <c r="L603" s="159"/>
      <c r="M603" s="159"/>
      <c r="N603" s="159">
        <f t="shared" si="122"/>
        <v>94500</v>
      </c>
      <c r="O603" s="164"/>
      <c r="P603" s="124"/>
      <c r="Q603" s="161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</row>
    <row r="604" spans="1:34" s="160" customFormat="1" ht="12" customHeight="1">
      <c r="A604" s="152" t="s">
        <v>937</v>
      </c>
      <c r="B604" s="158"/>
      <c r="C604" s="159"/>
      <c r="D604" s="163"/>
      <c r="E604" s="159"/>
      <c r="F604" s="159"/>
      <c r="G604" s="159"/>
      <c r="H604" s="159"/>
      <c r="I604" s="159"/>
      <c r="J604" s="159"/>
      <c r="K604" s="159"/>
      <c r="L604" s="159">
        <v>94500</v>
      </c>
      <c r="M604" s="159"/>
      <c r="N604" s="159">
        <f t="shared" si="122"/>
        <v>94500</v>
      </c>
      <c r="O604" s="164"/>
      <c r="P604" s="124"/>
      <c r="Q604" s="161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</row>
    <row r="605" spans="1:34" s="160" customFormat="1" ht="12" customHeight="1">
      <c r="A605" s="228" t="s">
        <v>334</v>
      </c>
      <c r="B605" s="184"/>
      <c r="C605" s="184"/>
      <c r="D605" s="184"/>
      <c r="E605" s="184"/>
      <c r="F605" s="184"/>
      <c r="G605" s="184"/>
      <c r="H605" s="184"/>
      <c r="I605" s="184"/>
      <c r="J605" s="184"/>
      <c r="K605" s="184"/>
      <c r="L605" s="184"/>
      <c r="M605" s="184"/>
      <c r="N605" s="240">
        <f t="shared" si="122"/>
        <v>0</v>
      </c>
      <c r="O605" s="164"/>
      <c r="P605" s="124"/>
      <c r="Q605" s="161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</row>
    <row r="606" spans="1:34" s="160" customFormat="1" ht="12" customHeight="1">
      <c r="A606" s="228" t="s">
        <v>691</v>
      </c>
      <c r="B606" s="184"/>
      <c r="C606" s="184"/>
      <c r="D606" s="184"/>
      <c r="E606" s="184"/>
      <c r="F606" s="184"/>
      <c r="G606" s="184"/>
      <c r="H606" s="184"/>
      <c r="I606" s="184"/>
      <c r="J606" s="184"/>
      <c r="K606" s="184"/>
      <c r="L606" s="184"/>
      <c r="M606" s="184"/>
      <c r="N606" s="240">
        <f t="shared" si="122"/>
        <v>0</v>
      </c>
      <c r="O606" s="164"/>
      <c r="P606" s="124">
        <f>SUM(B599:I599)</f>
        <v>20259523.360000007</v>
      </c>
      <c r="Q606" s="161"/>
      <c r="R606" s="162">
        <f>'[1]Ejecución Indotel'!$BL$67</f>
        <v>0</v>
      </c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</row>
    <row r="607" spans="1:34" s="160" customFormat="1" ht="12" customHeight="1">
      <c r="A607" s="228" t="s">
        <v>320</v>
      </c>
      <c r="B607" s="184"/>
      <c r="C607" s="240"/>
      <c r="D607" s="240"/>
      <c r="E607" s="240">
        <v>750000</v>
      </c>
      <c r="F607" s="240"/>
      <c r="G607" s="240"/>
      <c r="H607" s="240"/>
      <c r="I607" s="240"/>
      <c r="J607" s="240"/>
      <c r="K607" s="240"/>
      <c r="L607" s="240"/>
      <c r="M607" s="240"/>
      <c r="N607" s="240">
        <f t="shared" si="122"/>
        <v>750000</v>
      </c>
      <c r="O607" s="164">
        <f>SUM(B599:M599)</f>
        <v>25575690.05000001</v>
      </c>
      <c r="P607" s="124"/>
      <c r="Q607" s="161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</row>
    <row r="608" spans="1:34" s="160" customFormat="1" ht="12" customHeight="1">
      <c r="A608" s="228" t="s">
        <v>332</v>
      </c>
      <c r="B608" s="184"/>
      <c r="C608" s="240"/>
      <c r="D608" s="240"/>
      <c r="E608" s="240"/>
      <c r="F608" s="240">
        <v>1200000</v>
      </c>
      <c r="G608" s="240"/>
      <c r="H608" s="240"/>
      <c r="I608" s="240"/>
      <c r="J608" s="240"/>
      <c r="K608" s="240"/>
      <c r="L608" s="240"/>
      <c r="M608" s="240"/>
      <c r="N608" s="240">
        <f t="shared" si="122"/>
        <v>1200000</v>
      </c>
      <c r="P608" s="124"/>
      <c r="Q608" s="161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</row>
    <row r="609" spans="1:34" s="5" customFormat="1" ht="12" customHeight="1">
      <c r="A609" s="228" t="s">
        <v>692</v>
      </c>
      <c r="B609" s="184"/>
      <c r="C609" s="240"/>
      <c r="D609" s="240"/>
      <c r="E609" s="240"/>
      <c r="F609" s="240">
        <v>200000</v>
      </c>
      <c r="G609" s="240"/>
      <c r="H609" s="240"/>
      <c r="I609" s="240"/>
      <c r="J609" s="240"/>
      <c r="K609" s="240"/>
      <c r="L609" s="240"/>
      <c r="M609" s="240"/>
      <c r="N609" s="240">
        <f t="shared" si="122"/>
        <v>200000</v>
      </c>
      <c r="O609" s="160"/>
      <c r="P609" s="76"/>
      <c r="Q609" s="80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  <c r="AC609" s="114"/>
      <c r="AD609" s="114"/>
      <c r="AE609" s="114"/>
      <c r="AF609" s="114"/>
      <c r="AG609" s="114"/>
      <c r="AH609" s="114">
        <f>SUM(D607:M607)</f>
        <v>750000</v>
      </c>
    </row>
    <row r="610" spans="1:34" s="5" customFormat="1" ht="12" customHeight="1">
      <c r="A610" s="228" t="s">
        <v>335</v>
      </c>
      <c r="B610" s="184"/>
      <c r="C610" s="184"/>
      <c r="D610" s="184"/>
      <c r="E610" s="184"/>
      <c r="F610" s="184"/>
      <c r="G610" s="184"/>
      <c r="H610" s="184">
        <v>1000000</v>
      </c>
      <c r="I610" s="184"/>
      <c r="J610" s="184"/>
      <c r="K610" s="184"/>
      <c r="L610" s="184"/>
      <c r="M610" s="184"/>
      <c r="N610" s="240">
        <f t="shared" si="122"/>
        <v>1000000</v>
      </c>
      <c r="P610" s="76"/>
      <c r="Q610" s="80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  <c r="AC610" s="114"/>
      <c r="AD610" s="114"/>
      <c r="AE610" s="114"/>
      <c r="AF610" s="114"/>
      <c r="AG610" s="114"/>
      <c r="AH610" s="114"/>
    </row>
    <row r="611" spans="1:34" s="5" customFormat="1" ht="12" customHeight="1">
      <c r="A611" s="228" t="s">
        <v>690</v>
      </c>
      <c r="B611" s="184"/>
      <c r="C611" s="184"/>
      <c r="D611" s="184"/>
      <c r="E611" s="184"/>
      <c r="F611" s="184"/>
      <c r="G611" s="184"/>
      <c r="H611" s="184"/>
      <c r="I611" s="184"/>
      <c r="J611" s="184"/>
      <c r="K611" s="184"/>
      <c r="L611" s="184"/>
      <c r="M611" s="184"/>
      <c r="N611" s="240">
        <f t="shared" si="122"/>
        <v>0</v>
      </c>
      <c r="P611" s="76"/>
      <c r="Q611" s="80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  <c r="AC611" s="114"/>
      <c r="AD611" s="114"/>
      <c r="AE611" s="114"/>
      <c r="AF611" s="114"/>
      <c r="AG611" s="114"/>
      <c r="AH611" s="114"/>
    </row>
    <row r="612" spans="1:34" s="5" customFormat="1" ht="12" customHeight="1">
      <c r="A612" s="228" t="s">
        <v>456</v>
      </c>
      <c r="B612" s="184"/>
      <c r="C612" s="184"/>
      <c r="D612" s="184"/>
      <c r="E612" s="184"/>
      <c r="F612" s="184"/>
      <c r="G612" s="184"/>
      <c r="H612" s="184">
        <v>1300000</v>
      </c>
      <c r="I612" s="184"/>
      <c r="J612" s="184"/>
      <c r="K612" s="184"/>
      <c r="L612" s="184"/>
      <c r="M612" s="184"/>
      <c r="N612" s="240">
        <f t="shared" si="122"/>
        <v>1300000</v>
      </c>
      <c r="P612" s="76"/>
      <c r="Q612" s="80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  <c r="AC612" s="114"/>
      <c r="AD612" s="114"/>
      <c r="AE612" s="114"/>
      <c r="AF612" s="114"/>
      <c r="AG612" s="114"/>
      <c r="AH612" s="114"/>
    </row>
    <row r="613" spans="1:34" s="5" customFormat="1" ht="12" customHeight="1">
      <c r="A613" s="228" t="s">
        <v>707</v>
      </c>
      <c r="B613" s="184"/>
      <c r="C613" s="184"/>
      <c r="D613" s="184"/>
      <c r="E613" s="184"/>
      <c r="F613" s="184"/>
      <c r="G613" s="184"/>
      <c r="H613" s="184"/>
      <c r="I613" s="184">
        <v>200000</v>
      </c>
      <c r="J613" s="184"/>
      <c r="K613" s="184"/>
      <c r="L613" s="184"/>
      <c r="M613" s="184"/>
      <c r="N613" s="240">
        <f t="shared" si="122"/>
        <v>200000</v>
      </c>
      <c r="P613" s="76"/>
      <c r="Q613" s="80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  <c r="AC613" s="114"/>
      <c r="AD613" s="114"/>
      <c r="AE613" s="114"/>
      <c r="AF613" s="114"/>
      <c r="AG613" s="114"/>
      <c r="AH613" s="114"/>
    </row>
    <row r="614" spans="1:34" s="5" customFormat="1" ht="12" customHeight="1">
      <c r="A614" s="228" t="s">
        <v>784</v>
      </c>
      <c r="B614" s="184"/>
      <c r="C614" s="184"/>
      <c r="D614" s="184"/>
      <c r="E614" s="184"/>
      <c r="F614" s="184">
        <v>7380340</v>
      </c>
      <c r="G614" s="184"/>
      <c r="H614" s="184"/>
      <c r="I614" s="184"/>
      <c r="J614" s="184"/>
      <c r="K614" s="184"/>
      <c r="L614" s="184"/>
      <c r="M614" s="184"/>
      <c r="N614" s="240">
        <f t="shared" si="122"/>
        <v>7380340</v>
      </c>
      <c r="P614" s="76"/>
      <c r="Q614" s="80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  <c r="AC614" s="114"/>
      <c r="AD614" s="114"/>
      <c r="AE614" s="114"/>
      <c r="AF614" s="114"/>
      <c r="AG614" s="114"/>
      <c r="AH614" s="114"/>
    </row>
    <row r="615" spans="1:34" s="5" customFormat="1" ht="12" customHeight="1">
      <c r="A615" s="228" t="s">
        <v>785</v>
      </c>
      <c r="B615" s="184"/>
      <c r="C615" s="184"/>
      <c r="D615" s="184"/>
      <c r="E615" s="184"/>
      <c r="F615" s="184"/>
      <c r="G615" s="184"/>
      <c r="H615" s="184"/>
      <c r="I615" s="184"/>
      <c r="J615" s="184"/>
      <c r="K615" s="184"/>
      <c r="L615" s="184"/>
      <c r="M615" s="184"/>
      <c r="N615" s="240">
        <f t="shared" si="122"/>
        <v>0</v>
      </c>
      <c r="P615" s="76"/>
      <c r="Q615" s="80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  <c r="AC615" s="114"/>
      <c r="AD615" s="114"/>
      <c r="AE615" s="114"/>
      <c r="AF615" s="114"/>
      <c r="AG615" s="114"/>
      <c r="AH615" s="114"/>
    </row>
    <row r="616" spans="1:34" s="5" customFormat="1" ht="12" customHeight="1">
      <c r="A616" s="228" t="s">
        <v>786</v>
      </c>
      <c r="B616" s="184"/>
      <c r="C616" s="184"/>
      <c r="D616" s="184"/>
      <c r="E616" s="184"/>
      <c r="F616" s="184"/>
      <c r="G616" s="184"/>
      <c r="H616" s="184"/>
      <c r="I616" s="184"/>
      <c r="J616" s="184"/>
      <c r="K616" s="184"/>
      <c r="L616" s="184"/>
      <c r="M616" s="184"/>
      <c r="N616" s="240">
        <f t="shared" si="122"/>
        <v>0</v>
      </c>
      <c r="P616" s="76"/>
      <c r="Q616" s="80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  <c r="AC616" s="114"/>
      <c r="AD616" s="114"/>
      <c r="AE616" s="114"/>
      <c r="AF616" s="114"/>
      <c r="AG616" s="114"/>
      <c r="AH616" s="114"/>
    </row>
    <row r="617" spans="1:34" s="5" customFormat="1" ht="12" customHeight="1">
      <c r="A617" s="228" t="s">
        <v>787</v>
      </c>
      <c r="B617" s="184"/>
      <c r="C617" s="184">
        <v>500000</v>
      </c>
      <c r="D617" s="184"/>
      <c r="E617" s="184"/>
      <c r="F617" s="184"/>
      <c r="G617" s="184"/>
      <c r="H617" s="184"/>
      <c r="I617" s="184"/>
      <c r="J617" s="184"/>
      <c r="K617" s="184"/>
      <c r="L617" s="184"/>
      <c r="M617" s="184"/>
      <c r="N617" s="240">
        <f t="shared" si="122"/>
        <v>500000</v>
      </c>
      <c r="P617" s="76"/>
      <c r="Q617" s="80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  <c r="AC617" s="114"/>
      <c r="AD617" s="114"/>
      <c r="AE617" s="114"/>
      <c r="AF617" s="114"/>
      <c r="AG617" s="114"/>
      <c r="AH617" s="114"/>
    </row>
    <row r="618" spans="1:34" s="5" customFormat="1" ht="12" customHeight="1">
      <c r="A618" s="228" t="s">
        <v>788</v>
      </c>
      <c r="B618" s="184"/>
      <c r="C618" s="184"/>
      <c r="D618" s="184"/>
      <c r="E618" s="184"/>
      <c r="F618" s="184"/>
      <c r="G618" s="184"/>
      <c r="H618" s="184"/>
      <c r="I618" s="184"/>
      <c r="J618" s="184"/>
      <c r="K618" s="184">
        <v>150000</v>
      </c>
      <c r="L618" s="184"/>
      <c r="M618" s="184"/>
      <c r="N618" s="240">
        <f t="shared" si="122"/>
        <v>150000</v>
      </c>
      <c r="P618" s="76"/>
      <c r="Q618" s="80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  <c r="AC618" s="114"/>
      <c r="AD618" s="114"/>
      <c r="AE618" s="114"/>
      <c r="AF618" s="114"/>
      <c r="AG618" s="114"/>
      <c r="AH618" s="114"/>
    </row>
    <row r="619" spans="1:34" s="5" customFormat="1" ht="12" customHeight="1">
      <c r="A619" s="228" t="s">
        <v>876</v>
      </c>
      <c r="B619" s="184"/>
      <c r="C619" s="184"/>
      <c r="D619" s="184"/>
      <c r="E619" s="184"/>
      <c r="F619" s="184"/>
      <c r="G619" s="184"/>
      <c r="H619" s="184"/>
      <c r="I619" s="184"/>
      <c r="J619" s="184"/>
      <c r="K619" s="184"/>
      <c r="L619" s="184"/>
      <c r="M619" s="184"/>
      <c r="N619" s="240">
        <f t="shared" si="122"/>
        <v>0</v>
      </c>
      <c r="P619" s="76"/>
      <c r="Q619" s="80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  <c r="AC619" s="114"/>
      <c r="AD619" s="114"/>
      <c r="AE619" s="114"/>
      <c r="AF619" s="114"/>
      <c r="AG619" s="114"/>
      <c r="AH619" s="114"/>
    </row>
    <row r="620" spans="1:34" s="5" customFormat="1" ht="12" customHeight="1">
      <c r="A620" s="228" t="s">
        <v>880</v>
      </c>
      <c r="B620" s="184"/>
      <c r="C620" s="184"/>
      <c r="D620" s="184"/>
      <c r="E620" s="184"/>
      <c r="F620" s="184"/>
      <c r="G620" s="184"/>
      <c r="H620" s="184"/>
      <c r="I620" s="184"/>
      <c r="J620" s="184"/>
      <c r="K620" s="184"/>
      <c r="L620" s="184"/>
      <c r="M620" s="184"/>
      <c r="N620" s="240">
        <f t="shared" si="122"/>
        <v>0</v>
      </c>
      <c r="P620" s="76"/>
      <c r="Q620" s="80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  <c r="AC620" s="114"/>
      <c r="AD620" s="114"/>
      <c r="AE620" s="114"/>
      <c r="AF620" s="114"/>
      <c r="AG620" s="114"/>
      <c r="AH620" s="114"/>
    </row>
    <row r="621" spans="1:34" s="5" customFormat="1" ht="12" customHeight="1">
      <c r="A621" s="228" t="s">
        <v>881</v>
      </c>
      <c r="B621" s="184"/>
      <c r="C621" s="184"/>
      <c r="D621" s="184"/>
      <c r="E621" s="184"/>
      <c r="F621" s="184"/>
      <c r="G621" s="184"/>
      <c r="H621" s="184"/>
      <c r="I621" s="184"/>
      <c r="J621" s="184"/>
      <c r="K621" s="184"/>
      <c r="L621" s="184"/>
      <c r="M621" s="184"/>
      <c r="N621" s="240">
        <f t="shared" si="122"/>
        <v>0</v>
      </c>
      <c r="P621" s="76"/>
      <c r="Q621" s="80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  <c r="AC621" s="114"/>
      <c r="AD621" s="114"/>
      <c r="AE621" s="114"/>
      <c r="AF621" s="114"/>
      <c r="AG621" s="114"/>
      <c r="AH621" s="114"/>
    </row>
    <row r="622" spans="1:34" s="5" customFormat="1" ht="12" customHeight="1">
      <c r="A622" s="228" t="s">
        <v>882</v>
      </c>
      <c r="B622" s="184"/>
      <c r="C622" s="184"/>
      <c r="D622" s="184"/>
      <c r="E622" s="184"/>
      <c r="F622" s="184"/>
      <c r="G622" s="184"/>
      <c r="H622" s="184"/>
      <c r="I622" s="184"/>
      <c r="J622" s="184"/>
      <c r="K622" s="184"/>
      <c r="L622" s="184"/>
      <c r="M622" s="184"/>
      <c r="N622" s="240">
        <f t="shared" si="122"/>
        <v>0</v>
      </c>
      <c r="P622" s="76"/>
      <c r="Q622" s="80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4"/>
      <c r="AF622" s="114"/>
      <c r="AG622" s="114"/>
      <c r="AH622" s="114"/>
    </row>
    <row r="623" spans="1:34" s="5" customFormat="1" ht="12" customHeight="1">
      <c r="A623" s="228" t="s">
        <v>902</v>
      </c>
      <c r="B623" s="184">
        <v>314087.5</v>
      </c>
      <c r="C623" s="184">
        <v>314087.5</v>
      </c>
      <c r="D623" s="184">
        <v>314087.5</v>
      </c>
      <c r="E623" s="184">
        <v>314087.5</v>
      </c>
      <c r="F623" s="184"/>
      <c r="G623" s="184"/>
      <c r="H623" s="184"/>
      <c r="I623" s="184"/>
      <c r="J623" s="184"/>
      <c r="K623" s="184"/>
      <c r="L623" s="184"/>
      <c r="M623" s="184"/>
      <c r="N623" s="240">
        <f t="shared" si="122"/>
        <v>1256350</v>
      </c>
      <c r="P623" s="76"/>
      <c r="Q623" s="80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4"/>
      <c r="AF623" s="114"/>
      <c r="AG623" s="114"/>
      <c r="AH623" s="114"/>
    </row>
    <row r="624" spans="1:34" s="5" customFormat="1" ht="12" customHeight="1">
      <c r="A624" s="228" t="s">
        <v>903</v>
      </c>
      <c r="B624" s="184">
        <v>41666.67</v>
      </c>
      <c r="C624" s="184">
        <f>150000+200000+100000+41666.67</f>
        <v>491666.67</v>
      </c>
      <c r="D624" s="184">
        <v>41666.67</v>
      </c>
      <c r="E624" s="184">
        <f>100000+300000+41666.67</f>
        <v>441666.67</v>
      </c>
      <c r="F624" s="184">
        <v>41666.67</v>
      </c>
      <c r="G624" s="184">
        <v>41666.67</v>
      </c>
      <c r="H624" s="184">
        <v>41666.67</v>
      </c>
      <c r="I624" s="184">
        <v>41666.67</v>
      </c>
      <c r="J624" s="184">
        <v>41666.67</v>
      </c>
      <c r="K624" s="184">
        <v>41666.67</v>
      </c>
      <c r="L624" s="184">
        <v>41666.67</v>
      </c>
      <c r="M624" s="184">
        <v>41666.67</v>
      </c>
      <c r="N624" s="240">
        <f t="shared" si="122"/>
        <v>1350000.0399999993</v>
      </c>
      <c r="P624" s="76"/>
      <c r="Q624" s="80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  <c r="AC624" s="114"/>
      <c r="AD624" s="114"/>
      <c r="AE624" s="114"/>
      <c r="AF624" s="114"/>
      <c r="AG624" s="114"/>
      <c r="AH624" s="114"/>
    </row>
    <row r="625" spans="1:34" s="5" customFormat="1" ht="12">
      <c r="A625" s="228" t="s">
        <v>904</v>
      </c>
      <c r="B625" s="184"/>
      <c r="C625" s="184"/>
      <c r="D625" s="184"/>
      <c r="E625" s="184"/>
      <c r="F625" s="184"/>
      <c r="G625" s="184">
        <f>25000+40000</f>
        <v>65000</v>
      </c>
      <c r="H625" s="184">
        <f>25000+40000</f>
        <v>65000</v>
      </c>
      <c r="I625" s="184">
        <f>25000+40000</f>
        <v>65000</v>
      </c>
      <c r="J625" s="184">
        <f>25000+40000</f>
        <v>65000</v>
      </c>
      <c r="K625" s="184">
        <f>40000+300000+166666.67</f>
        <v>506666.67000000004</v>
      </c>
      <c r="L625" s="184">
        <v>166666.67</v>
      </c>
      <c r="M625" s="184">
        <v>166666.67</v>
      </c>
      <c r="N625" s="240">
        <f t="shared" si="122"/>
        <v>1100000.01</v>
      </c>
      <c r="P625" s="76"/>
      <c r="Q625" s="80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  <c r="AC625" s="114"/>
      <c r="AD625" s="114"/>
      <c r="AE625" s="114"/>
      <c r="AF625" s="114"/>
      <c r="AG625" s="114"/>
      <c r="AH625" s="114"/>
    </row>
    <row r="626" spans="1:34" s="5" customFormat="1" ht="12">
      <c r="A626" s="228" t="s">
        <v>737</v>
      </c>
      <c r="B626" s="184"/>
      <c r="C626" s="240"/>
      <c r="D626" s="240"/>
      <c r="E626" s="240"/>
      <c r="F626" s="240"/>
      <c r="G626" s="240"/>
      <c r="H626" s="240"/>
      <c r="I626" s="240"/>
      <c r="J626" s="240"/>
      <c r="K626" s="240"/>
      <c r="L626" s="240"/>
      <c r="M626" s="240">
        <v>4000000</v>
      </c>
      <c r="N626" s="240">
        <f t="shared" si="122"/>
        <v>4000000</v>
      </c>
      <c r="P626" s="76"/>
      <c r="Q626" s="80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  <c r="AC626" s="114"/>
      <c r="AD626" s="114"/>
      <c r="AE626" s="114"/>
      <c r="AF626" s="114"/>
      <c r="AG626" s="114"/>
      <c r="AH626" s="114">
        <f>N627</f>
        <v>0</v>
      </c>
    </row>
    <row r="627" spans="1:34" s="6" customFormat="1" ht="12">
      <c r="A627" s="228" t="s">
        <v>266</v>
      </c>
      <c r="B627" s="184"/>
      <c r="C627" s="240"/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N627" s="240">
        <f t="shared" si="122"/>
        <v>0</v>
      </c>
      <c r="O627" s="5"/>
      <c r="P627" s="65"/>
      <c r="Q627" s="81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  <c r="AG627" s="115"/>
      <c r="AH627" s="115" t="e">
        <f>SUM(#REF!)</f>
        <v>#REF!</v>
      </c>
    </row>
    <row r="628" spans="1:34" s="6" customFormat="1" ht="12">
      <c r="A628" s="15" t="s">
        <v>253</v>
      </c>
      <c r="B628" s="137">
        <f aca="true" t="shared" si="125" ref="B628:M628">SUM(B629:B632)</f>
        <v>0</v>
      </c>
      <c r="C628" s="137">
        <f t="shared" si="125"/>
        <v>0</v>
      </c>
      <c r="D628" s="137">
        <f t="shared" si="125"/>
        <v>0</v>
      </c>
      <c r="E628" s="137">
        <f t="shared" si="125"/>
        <v>0</v>
      </c>
      <c r="F628" s="137">
        <f t="shared" si="125"/>
        <v>0</v>
      </c>
      <c r="G628" s="137">
        <f t="shared" si="125"/>
        <v>0</v>
      </c>
      <c r="H628" s="137">
        <f t="shared" si="125"/>
        <v>0</v>
      </c>
      <c r="I628" s="137">
        <f t="shared" si="125"/>
        <v>0</v>
      </c>
      <c r="J628" s="137">
        <f t="shared" si="125"/>
        <v>0</v>
      </c>
      <c r="K628" s="137">
        <f t="shared" si="125"/>
        <v>0</v>
      </c>
      <c r="L628" s="137">
        <f t="shared" si="125"/>
        <v>0</v>
      </c>
      <c r="M628" s="137">
        <f t="shared" si="125"/>
        <v>0</v>
      </c>
      <c r="N628" s="16">
        <f t="shared" si="122"/>
        <v>0</v>
      </c>
      <c r="P628" s="65"/>
      <c r="Q628" s="81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  <c r="AG628" s="115"/>
      <c r="AH628" s="115"/>
    </row>
    <row r="629" spans="1:34" s="5" customFormat="1" ht="12" customHeight="1">
      <c r="A629" s="3" t="s">
        <v>735</v>
      </c>
      <c r="B629" s="137"/>
      <c r="C629" s="137"/>
      <c r="D629" s="137"/>
      <c r="E629" s="137"/>
      <c r="F629" s="137"/>
      <c r="G629" s="137"/>
      <c r="H629" s="137"/>
      <c r="I629" s="137"/>
      <c r="J629" s="137"/>
      <c r="K629" s="137"/>
      <c r="L629" s="137"/>
      <c r="M629" s="137"/>
      <c r="N629" s="4">
        <f t="shared" si="122"/>
        <v>0</v>
      </c>
      <c r="O629" s="6"/>
      <c r="P629" s="76"/>
      <c r="Q629" s="80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  <c r="AC629" s="114"/>
      <c r="AD629" s="114"/>
      <c r="AE629" s="114"/>
      <c r="AF629" s="114"/>
      <c r="AG629" s="114"/>
      <c r="AH629" s="114"/>
    </row>
    <row r="630" spans="1:34" s="5" customFormat="1" ht="12" customHeight="1" hidden="1">
      <c r="A630" s="3" t="s">
        <v>254</v>
      </c>
      <c r="B630" s="136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>
        <f t="shared" si="122"/>
        <v>0</v>
      </c>
      <c r="P630" s="76"/>
      <c r="Q630" s="80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  <c r="AC630" s="114"/>
      <c r="AD630" s="114"/>
      <c r="AE630" s="114"/>
      <c r="AF630" s="114"/>
      <c r="AG630" s="114"/>
      <c r="AH630" s="114"/>
    </row>
    <row r="631" spans="1:34" s="5" customFormat="1" ht="12" customHeight="1" hidden="1">
      <c r="A631" s="3" t="s">
        <v>255</v>
      </c>
      <c r="B631" s="136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>
        <f t="shared" si="122"/>
        <v>0</v>
      </c>
      <c r="P631" s="76"/>
      <c r="Q631" s="80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  <c r="AC631" s="114"/>
      <c r="AD631" s="114"/>
      <c r="AE631" s="114"/>
      <c r="AF631" s="114"/>
      <c r="AG631" s="114"/>
      <c r="AH631" s="114"/>
    </row>
    <row r="632" spans="1:35" s="6" customFormat="1" ht="12" hidden="1">
      <c r="A632" s="3" t="s">
        <v>260</v>
      </c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4">
        <f t="shared" si="122"/>
        <v>0</v>
      </c>
      <c r="O632" s="5"/>
      <c r="P632" s="65"/>
      <c r="Q632" s="81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  <c r="AG632" s="115"/>
      <c r="AH632" s="65">
        <f>SUM(H630:M630)</f>
        <v>0</v>
      </c>
      <c r="AI632" s="115">
        <f>4000/12</f>
        <v>333.3333333333333</v>
      </c>
    </row>
    <row r="633" spans="1:34" s="6" customFormat="1" ht="12" customHeight="1">
      <c r="A633" s="15" t="s">
        <v>256</v>
      </c>
      <c r="B633" s="137"/>
      <c r="C633" s="137"/>
      <c r="D633" s="137"/>
      <c r="E633" s="137"/>
      <c r="F633" s="137"/>
      <c r="G633" s="137"/>
      <c r="H633" s="137"/>
      <c r="I633" s="137"/>
      <c r="J633" s="137"/>
      <c r="K633" s="137"/>
      <c r="L633" s="137"/>
      <c r="M633" s="137"/>
      <c r="N633" s="16">
        <f t="shared" si="122"/>
        <v>0</v>
      </c>
      <c r="P633" s="76"/>
      <c r="Q633" s="81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  <c r="AG633" s="115"/>
      <c r="AH633" s="115"/>
    </row>
    <row r="634" spans="1:34" s="6" customFormat="1" ht="12" customHeight="1">
      <c r="A634" s="27" t="s">
        <v>257</v>
      </c>
      <c r="B634" s="137">
        <f aca="true" t="shared" si="126" ref="B634:L634">B637+B638+B642</f>
        <v>3126666.67</v>
      </c>
      <c r="C634" s="137">
        <f t="shared" si="126"/>
        <v>1666666.6700000002</v>
      </c>
      <c r="D634" s="137">
        <f t="shared" si="126"/>
        <v>2632666.67</v>
      </c>
      <c r="E634" s="137">
        <f t="shared" si="126"/>
        <v>1666666.6700000002</v>
      </c>
      <c r="F634" s="137">
        <f t="shared" si="126"/>
        <v>2920666.67</v>
      </c>
      <c r="G634" s="137">
        <f t="shared" si="126"/>
        <v>1666666.6700000002</v>
      </c>
      <c r="H634" s="137">
        <f t="shared" si="126"/>
        <v>2402666.6700000004</v>
      </c>
      <c r="I634" s="137">
        <f t="shared" si="126"/>
        <v>1666666.6700000002</v>
      </c>
      <c r="J634" s="137">
        <f t="shared" si="126"/>
        <v>3230666.67</v>
      </c>
      <c r="K634" s="137">
        <f t="shared" si="126"/>
        <v>1666666.6700000002</v>
      </c>
      <c r="L634" s="137">
        <f t="shared" si="126"/>
        <v>2566666.67</v>
      </c>
      <c r="M634" s="137">
        <f>M637+M638+M642</f>
        <v>1666666.6700000002</v>
      </c>
      <c r="N634" s="16">
        <f t="shared" si="122"/>
        <v>26880000.040000007</v>
      </c>
      <c r="O634" s="65">
        <f>SUM(B634:M634)</f>
        <v>26880000.040000007</v>
      </c>
      <c r="P634" s="76"/>
      <c r="Q634" s="81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  <c r="AG634" s="115"/>
      <c r="AH634" s="115"/>
    </row>
    <row r="635" spans="1:34" s="6" customFormat="1" ht="12" customHeight="1">
      <c r="A635" s="27" t="s">
        <v>704</v>
      </c>
      <c r="B635" s="137"/>
      <c r="C635" s="137"/>
      <c r="D635" s="137"/>
      <c r="E635" s="137"/>
      <c r="F635" s="137"/>
      <c r="G635" s="137"/>
      <c r="H635" s="137"/>
      <c r="I635" s="137"/>
      <c r="J635" s="137"/>
      <c r="K635" s="137"/>
      <c r="L635" s="137"/>
      <c r="M635" s="137"/>
      <c r="N635" s="16"/>
      <c r="O635" s="65"/>
      <c r="P635" s="76"/>
      <c r="Q635" s="81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  <c r="AG635" s="115"/>
      <c r="AH635" s="115"/>
    </row>
    <row r="636" spans="1:34" s="24" customFormat="1" ht="12" customHeight="1">
      <c r="A636" s="27" t="s">
        <v>703</v>
      </c>
      <c r="B636" s="137"/>
      <c r="C636" s="137"/>
      <c r="D636" s="137"/>
      <c r="E636" s="137"/>
      <c r="F636" s="137"/>
      <c r="G636" s="137"/>
      <c r="H636" s="137"/>
      <c r="I636" s="137"/>
      <c r="J636" s="137"/>
      <c r="K636" s="137"/>
      <c r="L636" s="137"/>
      <c r="M636" s="137"/>
      <c r="N636" s="16"/>
      <c r="O636" s="65"/>
      <c r="P636" s="34"/>
      <c r="Q636" s="69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</row>
    <row r="637" spans="1:34" s="28" customFormat="1" ht="11.25">
      <c r="A637" s="27" t="s">
        <v>702</v>
      </c>
      <c r="B637" s="136">
        <v>416666.67</v>
      </c>
      <c r="C637" s="136">
        <v>416666.67</v>
      </c>
      <c r="D637" s="136">
        <v>416666.67</v>
      </c>
      <c r="E637" s="136">
        <v>416666.67</v>
      </c>
      <c r="F637" s="136">
        <v>416666.67</v>
      </c>
      <c r="G637" s="136">
        <v>416666.67</v>
      </c>
      <c r="H637" s="136">
        <v>416666.67</v>
      </c>
      <c r="I637" s="136">
        <v>416666.67</v>
      </c>
      <c r="J637" s="136">
        <v>416666.67</v>
      </c>
      <c r="K637" s="136">
        <v>416666.67</v>
      </c>
      <c r="L637" s="136">
        <v>416666.67</v>
      </c>
      <c r="M637" s="136">
        <v>416666.67</v>
      </c>
      <c r="N637" s="4">
        <f aca="true" t="shared" si="127" ref="N637:N668">SUM(B637:M637)</f>
        <v>5000000.04</v>
      </c>
      <c r="O637" s="34"/>
      <c r="P637" s="34"/>
      <c r="Q637" s="68"/>
      <c r="R637" s="117"/>
      <c r="S637" s="117"/>
      <c r="T637" s="117"/>
      <c r="U637" s="117"/>
      <c r="V637" s="117"/>
      <c r="W637" s="117"/>
      <c r="X637" s="117"/>
      <c r="Y637" s="117"/>
      <c r="Z637" s="117"/>
      <c r="AA637" s="117"/>
      <c r="AB637" s="117"/>
      <c r="AC637" s="117"/>
      <c r="AD637" s="117"/>
      <c r="AE637" s="117"/>
      <c r="AF637" s="117"/>
      <c r="AG637" s="117"/>
      <c r="AH637" s="117"/>
    </row>
    <row r="638" spans="1:34" s="28" customFormat="1" ht="11.25">
      <c r="A638" s="360" t="s">
        <v>630</v>
      </c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4">
        <f t="shared" si="127"/>
        <v>0</v>
      </c>
      <c r="O638" s="66" t="e">
        <f>SUM(#REF!)</f>
        <v>#REF!</v>
      </c>
      <c r="P638" s="34"/>
      <c r="Q638" s="68"/>
      <c r="R638" s="117"/>
      <c r="S638" s="117"/>
      <c r="T638" s="117"/>
      <c r="U638" s="117"/>
      <c r="V638" s="117"/>
      <c r="W638" s="117"/>
      <c r="X638" s="117"/>
      <c r="Y638" s="117"/>
      <c r="Z638" s="117"/>
      <c r="AA638" s="117"/>
      <c r="AB638" s="117"/>
      <c r="AC638" s="117"/>
      <c r="AD638" s="117"/>
      <c r="AE638" s="117"/>
      <c r="AF638" s="117"/>
      <c r="AG638" s="117"/>
      <c r="AH638" s="117"/>
    </row>
    <row r="639" spans="1:34" s="6" customFormat="1" ht="12">
      <c r="A639" s="254" t="s">
        <v>941</v>
      </c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4">
        <f t="shared" si="127"/>
        <v>0</v>
      </c>
      <c r="O639" s="66"/>
      <c r="P639" s="76"/>
      <c r="Q639" s="81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  <c r="AG639" s="115"/>
      <c r="AH639" s="115"/>
    </row>
    <row r="640" spans="1:34" s="6" customFormat="1" ht="12">
      <c r="A640" s="3" t="s">
        <v>942</v>
      </c>
      <c r="B640" s="136"/>
      <c r="C640" s="136"/>
      <c r="D640" s="136"/>
      <c r="E640" s="136"/>
      <c r="F640" s="136">
        <v>60000</v>
      </c>
      <c r="G640" s="136"/>
      <c r="H640" s="136"/>
      <c r="I640" s="136"/>
      <c r="J640" s="136"/>
      <c r="K640" s="136"/>
      <c r="L640" s="136"/>
      <c r="M640" s="136"/>
      <c r="N640" s="4">
        <f t="shared" si="127"/>
        <v>60000</v>
      </c>
      <c r="P640" s="76"/>
      <c r="Q640" s="81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  <c r="AG640" s="115"/>
      <c r="AH640" s="115"/>
    </row>
    <row r="641" spans="1:34" s="28" customFormat="1" ht="12" customHeight="1">
      <c r="A641" s="3" t="s">
        <v>614</v>
      </c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4">
        <f t="shared" si="127"/>
        <v>0</v>
      </c>
      <c r="O641" s="6"/>
      <c r="P641" s="66"/>
      <c r="Q641" s="68"/>
      <c r="R641" s="117"/>
      <c r="S641" s="117"/>
      <c r="T641" s="117"/>
      <c r="U641" s="117"/>
      <c r="V641" s="117"/>
      <c r="W641" s="117"/>
      <c r="X641" s="117"/>
      <c r="Y641" s="117"/>
      <c r="Z641" s="117"/>
      <c r="AA641" s="117"/>
      <c r="AB641" s="117"/>
      <c r="AC641" s="117"/>
      <c r="AD641" s="117"/>
      <c r="AE641" s="117"/>
      <c r="AF641" s="117"/>
      <c r="AG641" s="117"/>
      <c r="AH641" s="117"/>
    </row>
    <row r="642" spans="1:34" s="5" customFormat="1" ht="12">
      <c r="A642" s="27" t="s">
        <v>644</v>
      </c>
      <c r="B642" s="137">
        <f>SUM(B643:B683)</f>
        <v>2710000</v>
      </c>
      <c r="C642" s="137">
        <f aca="true" t="shared" si="128" ref="C642:M642">SUM(C643:C683)</f>
        <v>1250000.0000000002</v>
      </c>
      <c r="D642" s="137">
        <f t="shared" si="128"/>
        <v>2216000</v>
      </c>
      <c r="E642" s="137">
        <f t="shared" si="128"/>
        <v>1250000.0000000002</v>
      </c>
      <c r="F642" s="137">
        <f t="shared" si="128"/>
        <v>2504000</v>
      </c>
      <c r="G642" s="137">
        <f t="shared" si="128"/>
        <v>1250000.0000000002</v>
      </c>
      <c r="H642" s="137">
        <f t="shared" si="128"/>
        <v>1986000.0000000002</v>
      </c>
      <c r="I642" s="137">
        <f t="shared" si="128"/>
        <v>1250000.0000000002</v>
      </c>
      <c r="J642" s="137">
        <f t="shared" si="128"/>
        <v>2814000</v>
      </c>
      <c r="K642" s="137">
        <f t="shared" si="128"/>
        <v>1250000.0000000002</v>
      </c>
      <c r="L642" s="137">
        <f t="shared" si="128"/>
        <v>2150000</v>
      </c>
      <c r="M642" s="137">
        <f t="shared" si="128"/>
        <v>1250000.0000000002</v>
      </c>
      <c r="N642" s="16">
        <f>SUM(B642:M642)</f>
        <v>21880000</v>
      </c>
      <c r="O642" s="66">
        <f>SUM(N643:N680)</f>
        <v>21880000</v>
      </c>
      <c r="P642" s="76"/>
      <c r="Q642" s="80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  <c r="AC642" s="114"/>
      <c r="AD642" s="114"/>
      <c r="AE642" s="114"/>
      <c r="AF642" s="114"/>
      <c r="AG642" s="114"/>
      <c r="AH642" s="114"/>
    </row>
    <row r="643" spans="1:34" s="5" customFormat="1" ht="11.25" customHeight="1">
      <c r="A643" s="228" t="s">
        <v>236</v>
      </c>
      <c r="B643" s="136">
        <v>979166.66</v>
      </c>
      <c r="C643" s="136">
        <v>979166.66</v>
      </c>
      <c r="D643" s="136">
        <v>979166.66</v>
      </c>
      <c r="E643" s="136">
        <v>979166.66</v>
      </c>
      <c r="F643" s="136">
        <v>979166.66</v>
      </c>
      <c r="G643" s="136">
        <v>979166.66</v>
      </c>
      <c r="H643" s="136">
        <v>529166.66</v>
      </c>
      <c r="I643" s="136">
        <v>979166.66</v>
      </c>
      <c r="J643" s="136">
        <v>979166.66</v>
      </c>
      <c r="K643" s="136">
        <v>979166.66</v>
      </c>
      <c r="L643" s="136">
        <v>979166.66</v>
      </c>
      <c r="M643" s="136">
        <v>979166.66</v>
      </c>
      <c r="N643" s="4">
        <f t="shared" si="127"/>
        <v>11299999.92</v>
      </c>
      <c r="P643" s="76"/>
      <c r="Q643" s="80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  <c r="AC643" s="114"/>
      <c r="AD643" s="114"/>
      <c r="AE643" s="114"/>
      <c r="AF643" s="114"/>
      <c r="AG643" s="114"/>
      <c r="AH643" s="114"/>
    </row>
    <row r="644" spans="1:34" s="5" customFormat="1" ht="12" customHeight="1" hidden="1">
      <c r="A644" s="3" t="s">
        <v>237</v>
      </c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4">
        <f t="shared" si="127"/>
        <v>0</v>
      </c>
      <c r="O644" s="76">
        <f>SUM(N644:N683)</f>
        <v>10580000.08</v>
      </c>
      <c r="P644" s="76"/>
      <c r="Q644" s="80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  <c r="AC644" s="114"/>
      <c r="AD644" s="114"/>
      <c r="AE644" s="114"/>
      <c r="AF644" s="114"/>
      <c r="AG644" s="114"/>
      <c r="AH644" s="114"/>
    </row>
    <row r="645" spans="1:34" s="5" customFormat="1" ht="12" customHeight="1" hidden="1">
      <c r="A645" s="15" t="s">
        <v>238</v>
      </c>
      <c r="B645" s="136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>
        <f t="shared" si="127"/>
        <v>0</v>
      </c>
      <c r="P645" s="76"/>
      <c r="Q645" s="80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  <c r="AC645" s="114"/>
      <c r="AD645" s="114"/>
      <c r="AE645" s="114"/>
      <c r="AF645" s="114"/>
      <c r="AG645" s="114"/>
      <c r="AH645" s="114"/>
    </row>
    <row r="646" spans="1:34" s="5" customFormat="1" ht="12" customHeight="1" hidden="1">
      <c r="A646" s="15"/>
      <c r="B646" s="136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>
        <f t="shared" si="127"/>
        <v>0</v>
      </c>
      <c r="P646" s="76"/>
      <c r="Q646" s="80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  <c r="AC646" s="114"/>
      <c r="AD646" s="114"/>
      <c r="AE646" s="114"/>
      <c r="AF646" s="114"/>
      <c r="AG646" s="114"/>
      <c r="AH646" s="114"/>
    </row>
    <row r="647" spans="1:34" s="5" customFormat="1" ht="12" customHeight="1" hidden="1">
      <c r="A647" s="3" t="s">
        <v>239</v>
      </c>
      <c r="B647" s="136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>
        <f t="shared" si="127"/>
        <v>0</v>
      </c>
      <c r="P647" s="76"/>
      <c r="Q647" s="80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  <c r="AC647" s="114"/>
      <c r="AD647" s="114"/>
      <c r="AE647" s="114"/>
      <c r="AF647" s="114"/>
      <c r="AG647" s="114"/>
      <c r="AH647" s="114"/>
    </row>
    <row r="648" spans="1:34" s="5" customFormat="1" ht="12" customHeight="1" hidden="1">
      <c r="A648" s="3" t="s">
        <v>240</v>
      </c>
      <c r="B648" s="136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>
        <f t="shared" si="127"/>
        <v>0</v>
      </c>
      <c r="P648" s="76"/>
      <c r="Q648" s="80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  <c r="AC648" s="114"/>
      <c r="AD648" s="114"/>
      <c r="AE648" s="114"/>
      <c r="AF648" s="114"/>
      <c r="AG648" s="114"/>
      <c r="AH648" s="114"/>
    </row>
    <row r="649" spans="1:34" s="5" customFormat="1" ht="12" customHeight="1">
      <c r="A649" s="3" t="s">
        <v>724</v>
      </c>
      <c r="B649" s="136"/>
      <c r="C649" s="4"/>
      <c r="D649" s="4">
        <f>576000</f>
        <v>576000</v>
      </c>
      <c r="E649" s="4"/>
      <c r="F649" s="4">
        <v>864000</v>
      </c>
      <c r="G649" s="4"/>
      <c r="H649" s="4">
        <v>576000</v>
      </c>
      <c r="I649" s="4"/>
      <c r="J649" s="4">
        <v>864000</v>
      </c>
      <c r="K649" s="4"/>
      <c r="L649" s="4"/>
      <c r="M649" s="4"/>
      <c r="N649" s="4">
        <f t="shared" si="127"/>
        <v>2880000</v>
      </c>
      <c r="P649" s="76"/>
      <c r="Q649" s="80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4"/>
      <c r="AF649" s="114"/>
      <c r="AG649" s="114"/>
      <c r="AH649" s="114"/>
    </row>
    <row r="650" spans="1:34" s="5" customFormat="1" ht="12" customHeight="1" hidden="1">
      <c r="A650" s="3" t="s">
        <v>241</v>
      </c>
      <c r="B650" s="136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>
        <f t="shared" si="127"/>
        <v>0</v>
      </c>
      <c r="P650" s="76"/>
      <c r="Q650" s="80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4"/>
      <c r="AF650" s="114"/>
      <c r="AG650" s="114"/>
      <c r="AH650" s="114"/>
    </row>
    <row r="651" spans="1:34" s="5" customFormat="1" ht="12" customHeight="1" hidden="1">
      <c r="A651" s="3" t="s">
        <v>242</v>
      </c>
      <c r="B651" s="136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>
        <f t="shared" si="127"/>
        <v>0</v>
      </c>
      <c r="P651" s="76"/>
      <c r="Q651" s="80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  <c r="AC651" s="114"/>
      <c r="AD651" s="114"/>
      <c r="AE651" s="114"/>
      <c r="AF651" s="114"/>
      <c r="AG651" s="114"/>
      <c r="AH651" s="114"/>
    </row>
    <row r="652" spans="1:34" s="5" customFormat="1" ht="12" customHeight="1" hidden="1">
      <c r="A652" s="3" t="s">
        <v>243</v>
      </c>
      <c r="B652" s="136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>
        <f t="shared" si="127"/>
        <v>0</v>
      </c>
      <c r="P652" s="76"/>
      <c r="Q652" s="80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  <c r="AC652" s="114"/>
      <c r="AD652" s="114"/>
      <c r="AE652" s="114"/>
      <c r="AF652" s="114"/>
      <c r="AG652" s="114"/>
      <c r="AH652" s="114"/>
    </row>
    <row r="653" spans="1:34" s="5" customFormat="1" ht="12" customHeight="1" hidden="1">
      <c r="A653" s="3" t="s">
        <v>244</v>
      </c>
      <c r="B653" s="136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>
        <f t="shared" si="127"/>
        <v>0</v>
      </c>
      <c r="P653" s="76"/>
      <c r="Q653" s="80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  <c r="AC653" s="114"/>
      <c r="AD653" s="114"/>
      <c r="AE653" s="114"/>
      <c r="AF653" s="114"/>
      <c r="AG653" s="114"/>
      <c r="AH653" s="114"/>
    </row>
    <row r="654" spans="1:34" s="5" customFormat="1" ht="12" customHeight="1">
      <c r="A654" s="3" t="s">
        <v>725</v>
      </c>
      <c r="B654" s="136">
        <v>260000</v>
      </c>
      <c r="C654" s="4"/>
      <c r="D654" s="4">
        <v>390000</v>
      </c>
      <c r="E654" s="4"/>
      <c r="F654" s="4">
        <v>390000</v>
      </c>
      <c r="G654" s="4"/>
      <c r="H654" s="4">
        <v>260000</v>
      </c>
      <c r="I654" s="4"/>
      <c r="J654" s="4"/>
      <c r="K654" s="4"/>
      <c r="L654" s="4"/>
      <c r="M654" s="4"/>
      <c r="N654" s="4">
        <f t="shared" si="127"/>
        <v>1300000</v>
      </c>
      <c r="P654" s="76"/>
      <c r="Q654" s="80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  <c r="AC654" s="114"/>
      <c r="AD654" s="114"/>
      <c r="AE654" s="114"/>
      <c r="AF654" s="114"/>
      <c r="AG654" s="114"/>
      <c r="AH654" s="114"/>
    </row>
    <row r="655" spans="1:34" s="5" customFormat="1" ht="12" customHeight="1">
      <c r="A655" s="3" t="s">
        <v>795</v>
      </c>
      <c r="B655" s="136">
        <v>1200000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>
        <f t="shared" si="127"/>
        <v>1200000</v>
      </c>
      <c r="P655" s="76"/>
      <c r="Q655" s="80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  <c r="AC655" s="114"/>
      <c r="AD655" s="114"/>
      <c r="AE655" s="114"/>
      <c r="AF655" s="114"/>
      <c r="AG655" s="114"/>
      <c r="AH655" s="114"/>
    </row>
    <row r="656" spans="1:34" s="5" customFormat="1" ht="12" customHeight="1" hidden="1">
      <c r="A656" s="3" t="s">
        <v>245</v>
      </c>
      <c r="B656" s="136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>
        <f t="shared" si="127"/>
        <v>0</v>
      </c>
      <c r="P656" s="76"/>
      <c r="Q656" s="80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  <c r="AC656" s="114"/>
      <c r="AD656" s="114"/>
      <c r="AE656" s="114"/>
      <c r="AF656" s="114"/>
      <c r="AG656" s="114"/>
      <c r="AH656" s="114"/>
    </row>
    <row r="657" spans="1:34" s="5" customFormat="1" ht="12" customHeight="1" hidden="1">
      <c r="A657" s="3" t="s">
        <v>246</v>
      </c>
      <c r="B657" s="136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>
        <f t="shared" si="127"/>
        <v>0</v>
      </c>
      <c r="P657" s="76"/>
      <c r="Q657" s="80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  <c r="AC657" s="114"/>
      <c r="AD657" s="114"/>
      <c r="AE657" s="114"/>
      <c r="AF657" s="114"/>
      <c r="AG657" s="114"/>
      <c r="AH657" s="114"/>
    </row>
    <row r="658" spans="1:34" s="5" customFormat="1" ht="12" customHeight="1">
      <c r="A658" s="3" t="s">
        <v>953</v>
      </c>
      <c r="B658" s="136">
        <v>250000</v>
      </c>
      <c r="C658" s="136">
        <v>250000</v>
      </c>
      <c r="D658" s="136">
        <v>250000</v>
      </c>
      <c r="E658" s="136">
        <v>250000</v>
      </c>
      <c r="F658" s="136">
        <v>250000</v>
      </c>
      <c r="G658" s="136">
        <v>250000</v>
      </c>
      <c r="H658" s="136">
        <v>250000</v>
      </c>
      <c r="I658" s="136">
        <v>250000</v>
      </c>
      <c r="J658" s="136">
        <v>250000</v>
      </c>
      <c r="K658" s="136">
        <v>250000</v>
      </c>
      <c r="L658" s="136">
        <v>250000</v>
      </c>
      <c r="M658" s="136">
        <v>250000</v>
      </c>
      <c r="N658" s="4">
        <f t="shared" si="127"/>
        <v>3000000</v>
      </c>
      <c r="P658" s="76"/>
      <c r="Q658" s="80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4"/>
      <c r="AF658" s="114"/>
      <c r="AG658" s="114"/>
      <c r="AH658" s="114"/>
    </row>
    <row r="659" spans="1:34" s="5" customFormat="1" ht="12" customHeight="1" hidden="1">
      <c r="A659" s="3" t="s">
        <v>247</v>
      </c>
      <c r="B659" s="136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>
        <f t="shared" si="127"/>
        <v>0</v>
      </c>
      <c r="P659" s="76"/>
      <c r="Q659" s="80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4"/>
      <c r="AF659" s="114"/>
      <c r="AG659" s="114"/>
      <c r="AH659" s="114"/>
    </row>
    <row r="660" spans="1:34" s="5" customFormat="1" ht="12" customHeight="1">
      <c r="A660" s="15" t="s">
        <v>296</v>
      </c>
      <c r="B660" s="136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>
        <f t="shared" si="127"/>
        <v>0</v>
      </c>
      <c r="P660" s="76"/>
      <c r="Q660" s="80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  <c r="AC660" s="114"/>
      <c r="AD660" s="114"/>
      <c r="AE660" s="114"/>
      <c r="AF660" s="114"/>
      <c r="AG660" s="114"/>
      <c r="AH660" s="114"/>
    </row>
    <row r="661" spans="1:34" s="5" customFormat="1" ht="12" customHeight="1">
      <c r="A661" s="3" t="s">
        <v>705</v>
      </c>
      <c r="B661" s="136"/>
      <c r="C661" s="4"/>
      <c r="D661" s="4"/>
      <c r="E661" s="4"/>
      <c r="F661" s="4"/>
      <c r="G661" s="4"/>
      <c r="H661" s="4">
        <v>350000</v>
      </c>
      <c r="I661" s="4"/>
      <c r="J661" s="4"/>
      <c r="K661" s="4"/>
      <c r="L661" s="4"/>
      <c r="M661" s="4"/>
      <c r="N661" s="4">
        <f t="shared" si="127"/>
        <v>350000</v>
      </c>
      <c r="P661" s="76"/>
      <c r="Q661" s="80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  <c r="AC661" s="114"/>
      <c r="AD661" s="114"/>
      <c r="AE661" s="114"/>
      <c r="AF661" s="114"/>
      <c r="AG661" s="114"/>
      <c r="AH661" s="114"/>
    </row>
    <row r="662" spans="1:34" s="5" customFormat="1" ht="12" customHeight="1">
      <c r="A662" s="3" t="s">
        <v>706</v>
      </c>
      <c r="B662" s="136"/>
      <c r="C662" s="4"/>
      <c r="D662" s="4"/>
      <c r="E662" s="4"/>
      <c r="F662" s="4"/>
      <c r="G662" s="4"/>
      <c r="H662" s="4"/>
      <c r="I662" s="4"/>
      <c r="J662" s="4">
        <v>700000</v>
      </c>
      <c r="K662" s="4"/>
      <c r="L662" s="4"/>
      <c r="M662" s="4"/>
      <c r="N662" s="4">
        <f t="shared" si="127"/>
        <v>700000</v>
      </c>
      <c r="P662" s="76"/>
      <c r="Q662" s="80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  <c r="AC662" s="114"/>
      <c r="AD662" s="114"/>
      <c r="AE662" s="114"/>
      <c r="AF662" s="114"/>
      <c r="AG662" s="114"/>
      <c r="AH662" s="114"/>
    </row>
    <row r="663" spans="1:34" s="5" customFormat="1" ht="12" customHeight="1">
      <c r="A663" s="3" t="s">
        <v>709</v>
      </c>
      <c r="B663" s="136"/>
      <c r="C663" s="4"/>
      <c r="D663" s="4"/>
      <c r="E663" s="4"/>
      <c r="F663" s="4"/>
      <c r="G663" s="4"/>
      <c r="H663" s="4"/>
      <c r="I663" s="4"/>
      <c r="J663" s="4"/>
      <c r="K663" s="4"/>
      <c r="L663" s="4">
        <v>700000</v>
      </c>
      <c r="M663" s="4"/>
      <c r="N663" s="4">
        <f t="shared" si="127"/>
        <v>700000</v>
      </c>
      <c r="P663" s="76"/>
      <c r="Q663" s="80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  <c r="AC663" s="114"/>
      <c r="AD663" s="114"/>
      <c r="AE663" s="114"/>
      <c r="AF663" s="114"/>
      <c r="AG663" s="114"/>
      <c r="AH663" s="114"/>
    </row>
    <row r="664" spans="1:34" s="5" customFormat="1" ht="12" customHeight="1">
      <c r="A664" s="3" t="s">
        <v>710</v>
      </c>
      <c r="B664" s="136"/>
      <c r="C664" s="4"/>
      <c r="D664" s="4"/>
      <c r="E664" s="4"/>
      <c r="F664" s="4"/>
      <c r="G664" s="4"/>
      <c r="H664" s="4"/>
      <c r="I664" s="4"/>
      <c r="J664" s="4"/>
      <c r="K664" s="4"/>
      <c r="L664" s="34">
        <v>200000</v>
      </c>
      <c r="M664" s="4"/>
      <c r="N664" s="4">
        <f t="shared" si="127"/>
        <v>200000</v>
      </c>
      <c r="P664" s="76"/>
      <c r="Q664" s="80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  <c r="AC664" s="114"/>
      <c r="AD664" s="114"/>
      <c r="AE664" s="114"/>
      <c r="AF664" s="114"/>
      <c r="AG664" s="114"/>
      <c r="AH664" s="114"/>
    </row>
    <row r="665" spans="1:34" s="5" customFormat="1" ht="12" customHeight="1" hidden="1">
      <c r="A665" s="3" t="s">
        <v>249</v>
      </c>
      <c r="B665" s="136"/>
      <c r="C665" s="4"/>
      <c r="D665" s="4"/>
      <c r="E665" s="4"/>
      <c r="F665" s="4"/>
      <c r="G665" s="4"/>
      <c r="H665" s="4"/>
      <c r="I665" s="4"/>
      <c r="J665" s="4"/>
      <c r="K665" s="4"/>
      <c r="M665" s="4"/>
      <c r="N665" s="4">
        <f t="shared" si="127"/>
        <v>0</v>
      </c>
      <c r="P665" s="76"/>
      <c r="Q665" s="80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  <c r="AC665" s="114"/>
      <c r="AD665" s="114"/>
      <c r="AE665" s="114"/>
      <c r="AF665" s="114"/>
      <c r="AG665" s="114"/>
      <c r="AH665" s="114"/>
    </row>
    <row r="666" spans="1:34" s="5" customFormat="1" ht="12" customHeight="1" hidden="1">
      <c r="A666" s="3" t="s">
        <v>250</v>
      </c>
      <c r="B666" s="136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>
        <f t="shared" si="127"/>
        <v>0</v>
      </c>
      <c r="P666" s="76"/>
      <c r="Q666" s="80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  <c r="AC666" s="114"/>
      <c r="AD666" s="114"/>
      <c r="AE666" s="114"/>
      <c r="AF666" s="114"/>
      <c r="AG666" s="114"/>
      <c r="AH666" s="114"/>
    </row>
    <row r="667" spans="1:34" s="160" customFormat="1" ht="12" customHeight="1" hidden="1">
      <c r="A667" s="3" t="s">
        <v>252</v>
      </c>
      <c r="B667" s="136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>
        <f t="shared" si="127"/>
        <v>0</v>
      </c>
      <c r="O667" s="5"/>
      <c r="P667" s="124"/>
      <c r="Q667" s="161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</row>
    <row r="668" spans="1:34" s="6" customFormat="1" ht="12" customHeight="1" hidden="1">
      <c r="A668" s="3" t="s">
        <v>305</v>
      </c>
      <c r="B668" s="158"/>
      <c r="C668" s="158"/>
      <c r="D668" s="158"/>
      <c r="E668" s="158"/>
      <c r="F668" s="158"/>
      <c r="G668" s="158"/>
      <c r="H668" s="158"/>
      <c r="I668" s="158"/>
      <c r="J668" s="158"/>
      <c r="K668" s="158"/>
      <c r="L668" s="158"/>
      <c r="M668" s="158"/>
      <c r="N668" s="159">
        <f t="shared" si="127"/>
        <v>0</v>
      </c>
      <c r="O668" s="160"/>
      <c r="P668" s="76"/>
      <c r="Q668" s="81"/>
      <c r="R668" s="115"/>
      <c r="S668" s="115"/>
      <c r="T668" s="115"/>
      <c r="U668" s="115"/>
      <c r="V668" s="115"/>
      <c r="W668" s="115"/>
      <c r="X668" s="115"/>
      <c r="Y668" s="115"/>
      <c r="Z668" s="115"/>
      <c r="AA668" s="115"/>
      <c r="AB668" s="115"/>
      <c r="AC668" s="115"/>
      <c r="AD668" s="115"/>
      <c r="AE668" s="115"/>
      <c r="AF668" s="115"/>
      <c r="AG668" s="115"/>
      <c r="AH668" s="115"/>
    </row>
    <row r="669" spans="1:34" s="6" customFormat="1" ht="12" customHeight="1" hidden="1">
      <c r="A669" s="3" t="s">
        <v>237</v>
      </c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4">
        <f aca="true" t="shared" si="129" ref="N669:N694">SUM(B669:M669)</f>
        <v>0</v>
      </c>
      <c r="P669" s="76"/>
      <c r="Q669" s="81"/>
      <c r="R669" s="115"/>
      <c r="S669" s="115"/>
      <c r="T669" s="115"/>
      <c r="U669" s="115"/>
      <c r="V669" s="115"/>
      <c r="W669" s="115"/>
      <c r="X669" s="115"/>
      <c r="Y669" s="115"/>
      <c r="Z669" s="115"/>
      <c r="AA669" s="115"/>
      <c r="AB669" s="115"/>
      <c r="AC669" s="115"/>
      <c r="AD669" s="115"/>
      <c r="AE669" s="115"/>
      <c r="AF669" s="115"/>
      <c r="AG669" s="115"/>
      <c r="AH669" s="115"/>
    </row>
    <row r="670" spans="1:34" s="6" customFormat="1" ht="12" customHeight="1" hidden="1">
      <c r="A670" s="3" t="s">
        <v>238</v>
      </c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4">
        <f t="shared" si="129"/>
        <v>0</v>
      </c>
      <c r="P670" s="76"/>
      <c r="Q670" s="81"/>
      <c r="R670" s="115"/>
      <c r="S670" s="115"/>
      <c r="T670" s="115"/>
      <c r="U670" s="115"/>
      <c r="V670" s="115"/>
      <c r="W670" s="115"/>
      <c r="X670" s="115"/>
      <c r="Y670" s="115"/>
      <c r="Z670" s="115"/>
      <c r="AA670" s="115"/>
      <c r="AB670" s="115"/>
      <c r="AC670" s="115"/>
      <c r="AD670" s="115"/>
      <c r="AE670" s="115"/>
      <c r="AF670" s="115"/>
      <c r="AG670" s="115"/>
      <c r="AH670" s="115"/>
    </row>
    <row r="671" spans="1:34" s="6" customFormat="1" ht="12" customHeight="1" hidden="1">
      <c r="A671" s="3" t="s">
        <v>239</v>
      </c>
      <c r="B671" s="136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>
        <f t="shared" si="129"/>
        <v>0</v>
      </c>
      <c r="P671" s="76"/>
      <c r="Q671" s="81"/>
      <c r="R671" s="115"/>
      <c r="S671" s="115"/>
      <c r="T671" s="115"/>
      <c r="U671" s="115"/>
      <c r="V671" s="115"/>
      <c r="W671" s="115"/>
      <c r="X671" s="115"/>
      <c r="Y671" s="115"/>
      <c r="Z671" s="115"/>
      <c r="AA671" s="115"/>
      <c r="AB671" s="115"/>
      <c r="AC671" s="115"/>
      <c r="AD671" s="115"/>
      <c r="AE671" s="115"/>
      <c r="AF671" s="115"/>
      <c r="AG671" s="115"/>
      <c r="AH671" s="115"/>
    </row>
    <row r="672" spans="1:34" s="6" customFormat="1" ht="12" hidden="1">
      <c r="A672" s="3" t="s">
        <v>240</v>
      </c>
      <c r="B672" s="136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>
        <f t="shared" si="129"/>
        <v>0</v>
      </c>
      <c r="P672" s="76"/>
      <c r="Q672" s="81"/>
      <c r="R672" s="115"/>
      <c r="S672" s="115"/>
      <c r="T672" s="115"/>
      <c r="U672" s="115"/>
      <c r="V672" s="115"/>
      <c r="W672" s="115"/>
      <c r="X672" s="115"/>
      <c r="Y672" s="115"/>
      <c r="Z672" s="115"/>
      <c r="AA672" s="115"/>
      <c r="AB672" s="115"/>
      <c r="AC672" s="115"/>
      <c r="AD672" s="115"/>
      <c r="AE672" s="115"/>
      <c r="AF672" s="115"/>
      <c r="AG672" s="115"/>
      <c r="AH672" s="115"/>
    </row>
    <row r="673" spans="1:34" s="6" customFormat="1" ht="12" customHeight="1" hidden="1">
      <c r="A673" s="3" t="s">
        <v>241</v>
      </c>
      <c r="B673" s="136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>
        <f t="shared" si="129"/>
        <v>0</v>
      </c>
      <c r="P673" s="76"/>
      <c r="Q673" s="81"/>
      <c r="R673" s="115"/>
      <c r="S673" s="115"/>
      <c r="T673" s="115"/>
      <c r="U673" s="115"/>
      <c r="V673" s="115"/>
      <c r="W673" s="115"/>
      <c r="X673" s="115"/>
      <c r="Y673" s="115"/>
      <c r="Z673" s="115"/>
      <c r="AA673" s="115"/>
      <c r="AB673" s="115"/>
      <c r="AC673" s="115"/>
      <c r="AD673" s="115"/>
      <c r="AE673" s="115"/>
      <c r="AF673" s="115"/>
      <c r="AG673" s="115"/>
      <c r="AH673" s="115"/>
    </row>
    <row r="674" spans="1:34" s="6" customFormat="1" ht="12" customHeight="1" hidden="1">
      <c r="A674" s="3" t="s">
        <v>242</v>
      </c>
      <c r="B674" s="136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>
        <f t="shared" si="129"/>
        <v>0</v>
      </c>
      <c r="P674" s="76"/>
      <c r="Q674" s="81"/>
      <c r="R674" s="115"/>
      <c r="S674" s="115"/>
      <c r="T674" s="115"/>
      <c r="U674" s="115"/>
      <c r="V674" s="115"/>
      <c r="W674" s="115"/>
      <c r="X674" s="115"/>
      <c r="Y674" s="115"/>
      <c r="Z674" s="115"/>
      <c r="AA674" s="115"/>
      <c r="AB674" s="115"/>
      <c r="AC674" s="115"/>
      <c r="AD674" s="115"/>
      <c r="AE674" s="115"/>
      <c r="AF674" s="115"/>
      <c r="AG674" s="115"/>
      <c r="AH674" s="115"/>
    </row>
    <row r="675" spans="1:34" s="6" customFormat="1" ht="12" hidden="1">
      <c r="A675" s="3" t="s">
        <v>243</v>
      </c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4">
        <f t="shared" si="129"/>
        <v>0</v>
      </c>
      <c r="P675" s="76"/>
      <c r="Q675" s="81"/>
      <c r="R675" s="115"/>
      <c r="S675" s="115"/>
      <c r="T675" s="115"/>
      <c r="U675" s="115"/>
      <c r="V675" s="115"/>
      <c r="W675" s="115"/>
      <c r="X675" s="115"/>
      <c r="Y675" s="115"/>
      <c r="Z675" s="115"/>
      <c r="AA675" s="115"/>
      <c r="AB675" s="115"/>
      <c r="AC675" s="115"/>
      <c r="AD675" s="115"/>
      <c r="AE675" s="115"/>
      <c r="AF675" s="115"/>
      <c r="AG675" s="115"/>
      <c r="AH675" s="115"/>
    </row>
    <row r="676" spans="1:34" s="6" customFormat="1" ht="12" customHeight="1" hidden="1">
      <c r="A676" s="3" t="s">
        <v>250</v>
      </c>
      <c r="B676" s="136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>
        <f t="shared" si="129"/>
        <v>0</v>
      </c>
      <c r="P676" s="76"/>
      <c r="Q676" s="81"/>
      <c r="R676" s="115"/>
      <c r="S676" s="115"/>
      <c r="T676" s="115"/>
      <c r="U676" s="115"/>
      <c r="V676" s="115"/>
      <c r="W676" s="115"/>
      <c r="X676" s="115"/>
      <c r="Y676" s="115"/>
      <c r="Z676" s="115"/>
      <c r="AA676" s="115"/>
      <c r="AB676" s="115"/>
      <c r="AC676" s="115"/>
      <c r="AD676" s="115"/>
      <c r="AE676" s="115"/>
      <c r="AF676" s="115"/>
      <c r="AG676" s="115"/>
      <c r="AH676" s="115"/>
    </row>
    <row r="677" spans="1:34" s="5" customFormat="1" ht="12" customHeight="1" hidden="1">
      <c r="A677" s="3" t="s">
        <v>251</v>
      </c>
      <c r="B677" s="137"/>
      <c r="C677" s="16"/>
      <c r="D677" s="16"/>
      <c r="E677" s="16"/>
      <c r="F677" s="16"/>
      <c r="G677" s="16"/>
      <c r="H677" s="4"/>
      <c r="I677" s="4"/>
      <c r="J677" s="4"/>
      <c r="K677" s="4"/>
      <c r="L677" s="4"/>
      <c r="M677" s="4"/>
      <c r="N677" s="4">
        <f t="shared" si="129"/>
        <v>0</v>
      </c>
      <c r="O677" s="6"/>
      <c r="P677" s="76"/>
      <c r="Q677" s="80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  <c r="AC677" s="114"/>
      <c r="AD677" s="114"/>
      <c r="AE677" s="114"/>
      <c r="AF677" s="114"/>
      <c r="AG677" s="114"/>
      <c r="AH677" s="114"/>
    </row>
    <row r="678" spans="1:34" s="5" customFormat="1" ht="12" customHeight="1" hidden="1">
      <c r="A678" s="3" t="s">
        <v>252</v>
      </c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4">
        <f t="shared" si="129"/>
        <v>0</v>
      </c>
      <c r="P678" s="76"/>
      <c r="Q678" s="80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  <c r="AC678" s="114"/>
      <c r="AD678" s="114"/>
      <c r="AE678" s="114"/>
      <c r="AF678" s="114"/>
      <c r="AG678" s="114"/>
      <c r="AH678" s="114"/>
    </row>
    <row r="679" spans="1:34" s="5" customFormat="1" ht="11.25" customHeight="1" hidden="1">
      <c r="A679" s="3" t="s">
        <v>968</v>
      </c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4">
        <f t="shared" si="129"/>
        <v>0</v>
      </c>
      <c r="P679" s="76">
        <f>SUM(B677:I677)</f>
        <v>0</v>
      </c>
      <c r="Q679" s="80"/>
      <c r="R679" s="114">
        <f>'[1]Ejecución Indotel'!$BL$126</f>
        <v>533333</v>
      </c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  <c r="AC679" s="114"/>
      <c r="AD679" s="114"/>
      <c r="AE679" s="114"/>
      <c r="AF679" s="114"/>
      <c r="AG679" s="114"/>
      <c r="AH679" s="114"/>
    </row>
    <row r="680" spans="1:34" s="5" customFormat="1" ht="11.25" customHeight="1">
      <c r="A680" s="3" t="s">
        <v>969</v>
      </c>
      <c r="B680" s="136">
        <v>20833.34</v>
      </c>
      <c r="C680" s="136">
        <v>20833.34</v>
      </c>
      <c r="D680" s="136">
        <v>20833.34</v>
      </c>
      <c r="E680" s="136">
        <v>20833.34</v>
      </c>
      <c r="F680" s="136">
        <v>20833.34</v>
      </c>
      <c r="G680" s="136">
        <v>20833.34</v>
      </c>
      <c r="H680" s="136">
        <v>20833.34</v>
      </c>
      <c r="I680" s="136">
        <v>20833.34</v>
      </c>
      <c r="J680" s="136">
        <v>20833.34</v>
      </c>
      <c r="K680" s="136">
        <v>20833.34</v>
      </c>
      <c r="L680" s="136">
        <v>20833.34</v>
      </c>
      <c r="M680" s="136">
        <v>20833.34</v>
      </c>
      <c r="N680" s="4">
        <f t="shared" si="129"/>
        <v>250000.08</v>
      </c>
      <c r="P680" s="76"/>
      <c r="Q680" s="80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  <c r="AC680" s="114"/>
      <c r="AD680" s="114"/>
      <c r="AE680" s="114"/>
      <c r="AF680" s="114"/>
      <c r="AG680" s="114"/>
      <c r="AH680" s="114"/>
    </row>
    <row r="681" spans="1:34" s="160" customFormat="1" ht="11.25" customHeight="1" hidden="1">
      <c r="A681" s="26" t="s">
        <v>258</v>
      </c>
      <c r="B681" s="136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>
        <f t="shared" si="129"/>
        <v>0</v>
      </c>
      <c r="O681" s="5"/>
      <c r="P681" s="124"/>
      <c r="Q681" s="161"/>
      <c r="R681" s="162"/>
      <c r="S681" s="162">
        <f>N682</f>
        <v>0</v>
      </c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</row>
    <row r="682" spans="1:34" s="5" customFormat="1" ht="11.25" customHeight="1" hidden="1">
      <c r="A682" s="26" t="s">
        <v>319</v>
      </c>
      <c r="B682" s="158"/>
      <c r="C682" s="158"/>
      <c r="D682" s="158"/>
      <c r="E682" s="158"/>
      <c r="F682" s="158"/>
      <c r="G682" s="158"/>
      <c r="H682" s="158"/>
      <c r="I682" s="158"/>
      <c r="J682" s="158"/>
      <c r="K682" s="158"/>
      <c r="L682" s="158"/>
      <c r="M682" s="158"/>
      <c r="N682" s="159">
        <f t="shared" si="129"/>
        <v>0</v>
      </c>
      <c r="O682" s="160"/>
      <c r="P682" s="76"/>
      <c r="Q682" s="80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  <c r="AC682" s="114"/>
      <c r="AD682" s="114"/>
      <c r="AE682" s="114"/>
      <c r="AF682" s="114"/>
      <c r="AG682" s="114"/>
      <c r="AH682" s="114"/>
    </row>
    <row r="683" spans="1:34" s="28" customFormat="1" ht="11.25" customHeight="1" hidden="1">
      <c r="A683" s="26" t="s">
        <v>561</v>
      </c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4">
        <f t="shared" si="129"/>
        <v>0</v>
      </c>
      <c r="O683" s="5"/>
      <c r="P683" s="66">
        <f>SUM(B678:I678)</f>
        <v>0</v>
      </c>
      <c r="Q683" s="68"/>
      <c r="R683" s="117"/>
      <c r="S683" s="117">
        <f>N684</f>
        <v>5021226.721520001</v>
      </c>
      <c r="T683" s="117"/>
      <c r="U683" s="117"/>
      <c r="V683" s="117"/>
      <c r="W683" s="117"/>
      <c r="X683" s="117"/>
      <c r="Y683" s="117"/>
      <c r="Z683" s="117"/>
      <c r="AA683" s="117"/>
      <c r="AB683" s="117"/>
      <c r="AC683" s="117"/>
      <c r="AD683" s="117"/>
      <c r="AE683" s="117"/>
      <c r="AF683" s="117"/>
      <c r="AG683" s="117"/>
      <c r="AH683" s="117"/>
    </row>
    <row r="684" spans="1:34" s="28" customFormat="1" ht="11.25" customHeight="1">
      <c r="A684" s="27" t="s">
        <v>538</v>
      </c>
      <c r="B684" s="137">
        <f>B685+B693</f>
        <v>30058.824</v>
      </c>
      <c r="C684" s="137">
        <f aca="true" t="shared" si="130" ref="C684:L684">C685+C693</f>
        <v>30058.824</v>
      </c>
      <c r="D684" s="137">
        <f t="shared" si="130"/>
        <v>30058.824</v>
      </c>
      <c r="E684" s="137">
        <f t="shared" si="130"/>
        <v>30058.824</v>
      </c>
      <c r="F684" s="137">
        <f t="shared" si="130"/>
        <v>30058.824</v>
      </c>
      <c r="G684" s="137">
        <f t="shared" si="130"/>
        <v>610079.6548000001</v>
      </c>
      <c r="H684" s="137">
        <f t="shared" si="130"/>
        <v>30058.824</v>
      </c>
      <c r="I684" s="137">
        <f t="shared" si="130"/>
        <v>30058.824</v>
      </c>
      <c r="J684" s="137">
        <f t="shared" si="130"/>
        <v>30058.824</v>
      </c>
      <c r="K684" s="137">
        <f t="shared" si="130"/>
        <v>30058.824</v>
      </c>
      <c r="L684" s="137">
        <f t="shared" si="130"/>
        <v>90058.824</v>
      </c>
      <c r="M684" s="137">
        <f>M685+M693</f>
        <v>4050558.8267200007</v>
      </c>
      <c r="N684" s="16">
        <f t="shared" si="129"/>
        <v>5021226.721520001</v>
      </c>
      <c r="O684" s="66">
        <f>SUM(N686:N690)</f>
        <v>640020.8308000001</v>
      </c>
      <c r="P684" s="66"/>
      <c r="Q684" s="68"/>
      <c r="R684" s="117"/>
      <c r="S684" s="117"/>
      <c r="T684" s="117"/>
      <c r="U684" s="117"/>
      <c r="V684" s="117"/>
      <c r="W684" s="117"/>
      <c r="X684" s="117"/>
      <c r="Y684" s="117"/>
      <c r="Z684" s="117"/>
      <c r="AA684" s="117"/>
      <c r="AB684" s="117"/>
      <c r="AC684" s="117"/>
      <c r="AD684" s="117"/>
      <c r="AE684" s="117"/>
      <c r="AF684" s="117"/>
      <c r="AG684" s="117"/>
      <c r="AH684" s="117"/>
    </row>
    <row r="685" spans="1:34" s="6" customFormat="1" ht="11.25" customHeight="1">
      <c r="A685" s="27" t="s">
        <v>203</v>
      </c>
      <c r="B685" s="137">
        <f>SUM(B686:B692)</f>
        <v>22058.824</v>
      </c>
      <c r="C685" s="137">
        <f aca="true" t="shared" si="131" ref="C685:K685">SUM(C686:C692)</f>
        <v>22058.824</v>
      </c>
      <c r="D685" s="137">
        <f t="shared" si="131"/>
        <v>22058.824</v>
      </c>
      <c r="E685" s="137">
        <f t="shared" si="131"/>
        <v>22058.824</v>
      </c>
      <c r="F685" s="137">
        <f t="shared" si="131"/>
        <v>22058.824</v>
      </c>
      <c r="G685" s="137">
        <f t="shared" si="131"/>
        <v>602079.6548000001</v>
      </c>
      <c r="H685" s="137">
        <f t="shared" si="131"/>
        <v>22058.824</v>
      </c>
      <c r="I685" s="137">
        <f t="shared" si="131"/>
        <v>22058.824</v>
      </c>
      <c r="J685" s="137">
        <f t="shared" si="131"/>
        <v>22058.824</v>
      </c>
      <c r="K685" s="137">
        <f t="shared" si="131"/>
        <v>22058.824</v>
      </c>
      <c r="L685" s="137">
        <f>SUM(L686:L692)</f>
        <v>82058.824</v>
      </c>
      <c r="M685" s="137">
        <f>SUM(M686:M692)</f>
        <v>4042558.8267200007</v>
      </c>
      <c r="N685" s="16">
        <f t="shared" si="129"/>
        <v>4925226.721520001</v>
      </c>
      <c r="O685" s="66">
        <f>SUM(N686:N692)</f>
        <v>4925226.721520001</v>
      </c>
      <c r="P685" s="65"/>
      <c r="Q685" s="81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</row>
    <row r="686" spans="1:34" s="6" customFormat="1" ht="11.25" customHeight="1">
      <c r="A686" s="27" t="s">
        <v>458</v>
      </c>
      <c r="B686" s="137"/>
      <c r="C686" s="137"/>
      <c r="D686" s="137"/>
      <c r="E686" s="137"/>
      <c r="F686" s="137"/>
      <c r="G686" s="137"/>
      <c r="H686" s="137"/>
      <c r="I686" s="137"/>
      <c r="J686" s="137"/>
      <c r="K686" s="136"/>
      <c r="L686" s="137">
        <v>60000</v>
      </c>
      <c r="M686" s="137"/>
      <c r="N686" s="4">
        <f t="shared" si="129"/>
        <v>60000</v>
      </c>
      <c r="P686" s="65"/>
      <c r="Q686" s="81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</row>
    <row r="687" spans="1:34" s="160" customFormat="1" ht="11.25" customHeight="1">
      <c r="A687" s="27" t="s">
        <v>459</v>
      </c>
      <c r="B687" s="136"/>
      <c r="C687" s="137"/>
      <c r="D687" s="137"/>
      <c r="E687" s="137"/>
      <c r="F687" s="137"/>
      <c r="G687" s="137"/>
      <c r="H687" s="137"/>
      <c r="I687" s="137"/>
      <c r="J687" s="137"/>
      <c r="K687" s="136"/>
      <c r="L687" s="137"/>
      <c r="M687" s="137"/>
      <c r="N687" s="4">
        <f t="shared" si="129"/>
        <v>0</v>
      </c>
      <c r="O687" s="6"/>
      <c r="P687" s="124"/>
      <c r="Q687" s="161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</row>
    <row r="688" spans="1:34" s="6" customFormat="1" ht="11.25" customHeight="1" hidden="1">
      <c r="A688" s="26" t="s">
        <v>618</v>
      </c>
      <c r="B688" s="158"/>
      <c r="C688" s="158"/>
      <c r="D688" s="158"/>
      <c r="E688" s="158"/>
      <c r="F688" s="158"/>
      <c r="G688" s="158"/>
      <c r="H688" s="158"/>
      <c r="I688" s="158"/>
      <c r="J688" s="158"/>
      <c r="K688" s="158"/>
      <c r="L688" s="158"/>
      <c r="M688" s="158"/>
      <c r="N688" s="159">
        <f t="shared" si="129"/>
        <v>0</v>
      </c>
      <c r="O688" s="160"/>
      <c r="P688" s="65"/>
      <c r="Q688" s="81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</row>
    <row r="689" spans="1:15" ht="12.75">
      <c r="A689" s="27" t="s">
        <v>460</v>
      </c>
      <c r="B689" s="137"/>
      <c r="C689" s="137"/>
      <c r="D689" s="137"/>
      <c r="E689" s="137"/>
      <c r="F689" s="137"/>
      <c r="G689" s="137"/>
      <c r="H689" s="137"/>
      <c r="I689" s="137"/>
      <c r="J689" s="137"/>
      <c r="K689" s="137"/>
      <c r="L689" s="137"/>
      <c r="M689" s="137"/>
      <c r="N689" s="16">
        <f t="shared" si="129"/>
        <v>0</v>
      </c>
      <c r="O689" s="6"/>
    </row>
    <row r="690" spans="1:14" ht="12.75">
      <c r="A690" s="26" t="s">
        <v>619</v>
      </c>
      <c r="B690" s="136"/>
      <c r="C690" s="4"/>
      <c r="D690" s="4"/>
      <c r="E690" s="4"/>
      <c r="F690" s="4"/>
      <c r="G690" s="4">
        <f>G329*17%</f>
        <v>580020.8308000001</v>
      </c>
      <c r="H690" s="4"/>
      <c r="I690" s="4"/>
      <c r="J690" s="4"/>
      <c r="K690" s="4"/>
      <c r="L690" s="4"/>
      <c r="M690" s="4"/>
      <c r="N690" s="4">
        <f t="shared" si="129"/>
        <v>580020.8308000001</v>
      </c>
    </row>
    <row r="691" spans="1:14" ht="12.75">
      <c r="A691" s="26" t="s">
        <v>794</v>
      </c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>
        <f>M347*17%</f>
        <v>4020500.0027200007</v>
      </c>
      <c r="N691" s="4">
        <f t="shared" si="129"/>
        <v>4020500.0027200007</v>
      </c>
    </row>
    <row r="692" spans="1:19" s="48" customFormat="1" ht="12.75">
      <c r="A692" s="26" t="s">
        <v>539</v>
      </c>
      <c r="B692" s="136">
        <f aca="true" t="shared" si="132" ref="B692:M692">B304*10%</f>
        <v>22058.824</v>
      </c>
      <c r="C692" s="136">
        <f t="shared" si="132"/>
        <v>22058.824</v>
      </c>
      <c r="D692" s="136">
        <f t="shared" si="132"/>
        <v>22058.824</v>
      </c>
      <c r="E692" s="136">
        <f t="shared" si="132"/>
        <v>22058.824</v>
      </c>
      <c r="F692" s="136">
        <f t="shared" si="132"/>
        <v>22058.824</v>
      </c>
      <c r="G692" s="136">
        <f t="shared" si="132"/>
        <v>22058.824</v>
      </c>
      <c r="H692" s="136">
        <f t="shared" si="132"/>
        <v>22058.824</v>
      </c>
      <c r="I692" s="136">
        <f t="shared" si="132"/>
        <v>22058.824</v>
      </c>
      <c r="J692" s="136">
        <f t="shared" si="132"/>
        <v>22058.824</v>
      </c>
      <c r="K692" s="136">
        <f t="shared" si="132"/>
        <v>22058.824</v>
      </c>
      <c r="L692" s="136">
        <f t="shared" si="132"/>
        <v>22058.824</v>
      </c>
      <c r="M692" s="136">
        <f t="shared" si="132"/>
        <v>22058.824</v>
      </c>
      <c r="N692" s="4">
        <f t="shared" si="129"/>
        <v>264705.888</v>
      </c>
      <c r="O692" s="9"/>
      <c r="Q692" s="83"/>
      <c r="R692" s="107"/>
      <c r="S692" s="107"/>
    </row>
    <row r="693" spans="1:34" s="5" customFormat="1" ht="12" customHeight="1" hidden="1">
      <c r="A693" s="27" t="s">
        <v>537</v>
      </c>
      <c r="B693" s="137">
        <v>8000</v>
      </c>
      <c r="C693" s="137">
        <v>8000</v>
      </c>
      <c r="D693" s="137">
        <v>8000</v>
      </c>
      <c r="E693" s="137">
        <v>8000</v>
      </c>
      <c r="F693" s="137">
        <v>8000</v>
      </c>
      <c r="G693" s="137">
        <v>8000</v>
      </c>
      <c r="H693" s="137">
        <v>8000</v>
      </c>
      <c r="I693" s="137">
        <v>8000</v>
      </c>
      <c r="J693" s="137">
        <v>8000</v>
      </c>
      <c r="K693" s="137">
        <v>8000</v>
      </c>
      <c r="L693" s="137">
        <v>8000</v>
      </c>
      <c r="M693" s="137">
        <v>8000</v>
      </c>
      <c r="N693" s="16">
        <f t="shared" si="129"/>
        <v>96000</v>
      </c>
      <c r="O693" s="48"/>
      <c r="P693" s="76" t="e">
        <f>SUM(#REF!)</f>
        <v>#REF!</v>
      </c>
      <c r="Q693" s="80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  <c r="AC693" s="114"/>
      <c r="AD693" s="114"/>
      <c r="AE693" s="114"/>
      <c r="AF693" s="114"/>
      <c r="AG693" s="114"/>
      <c r="AH693" s="114"/>
    </row>
    <row r="694" spans="1:34" ht="12.75" customHeight="1">
      <c r="A694" s="15" t="s">
        <v>168</v>
      </c>
      <c r="B694" s="136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6">
        <f t="shared" si="129"/>
        <v>0</v>
      </c>
      <c r="O694" s="5"/>
      <c r="P694" s="76" t="e">
        <f>SUM(#REF!)</f>
        <v>#REF!</v>
      </c>
      <c r="T694" s="106"/>
      <c r="U694" s="106"/>
      <c r="V694" s="106"/>
      <c r="W694" s="106"/>
      <c r="X694" s="106"/>
      <c r="Y694" s="106"/>
      <c r="Z694" s="106"/>
      <c r="AA694" s="106"/>
      <c r="AB694" s="106"/>
      <c r="AC694" s="106"/>
      <c r="AD694" s="106"/>
      <c r="AE694" s="106"/>
      <c r="AF694" s="106"/>
      <c r="AG694" s="106"/>
      <c r="AH694" s="106"/>
    </row>
    <row r="695" spans="1:34" s="6" customFormat="1" ht="12" customHeight="1">
      <c r="A695" s="95"/>
      <c r="B695" s="317"/>
      <c r="C695" s="15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318"/>
      <c r="O695" s="9"/>
      <c r="P695" s="76" t="e">
        <f>SUM(#REF!)</f>
        <v>#REF!</v>
      </c>
      <c r="Q695" s="81">
        <f>N696/N39</f>
        <v>0.023176458084950252</v>
      </c>
      <c r="R695" s="115" t="e">
        <f>SUM(#REF!)</f>
        <v>#REF!</v>
      </c>
      <c r="S695" s="115" t="e">
        <f>S696+S714+S732+S752+S770+S793+S831+S838+S848+S874+S834+S878+S880+#REF!+#REF!+S903+S962+S923+S985+S943</f>
        <v>#REF!</v>
      </c>
      <c r="T695" s="115" t="e">
        <f>S695-N696</f>
        <v>#REF!</v>
      </c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 t="e">
        <f>SUM(#REF!)</f>
        <v>#REF!</v>
      </c>
    </row>
    <row r="696" spans="1:34" ht="12.75" customHeight="1">
      <c r="A696" s="89" t="s">
        <v>18</v>
      </c>
      <c r="B696" s="139">
        <f>B697+B715+B732+B839+B847+B858+B894+B1030+B835+B888+B856+B1028</f>
        <v>6690189.26</v>
      </c>
      <c r="C696" s="139">
        <f>C697+C715+C732+C839+C847+C858+C894+C1030+C835+C888+C856+C1028</f>
        <v>9670110.26</v>
      </c>
      <c r="D696" s="139">
        <f aca="true" t="shared" si="133" ref="D696:L696">D697+D715+D732+D839+D847+D858+D894+D1030+D835+D888+D856+D1028</f>
        <v>5570569.26</v>
      </c>
      <c r="E696" s="139">
        <f t="shared" si="133"/>
        <v>3540122.59</v>
      </c>
      <c r="F696" s="139">
        <f t="shared" si="133"/>
        <v>5746952.59</v>
      </c>
      <c r="G696" s="139">
        <f t="shared" si="133"/>
        <v>3814603.59</v>
      </c>
      <c r="H696" s="139">
        <f t="shared" si="133"/>
        <v>3508122.59</v>
      </c>
      <c r="I696" s="139">
        <f t="shared" si="133"/>
        <v>3608122.59</v>
      </c>
      <c r="J696" s="139">
        <f t="shared" si="133"/>
        <v>3865122.59</v>
      </c>
      <c r="K696" s="139">
        <f t="shared" si="133"/>
        <v>4235603.59</v>
      </c>
      <c r="L696" s="139">
        <f t="shared" si="133"/>
        <v>3758122.59</v>
      </c>
      <c r="M696" s="139">
        <f>M697+M715+M732+M839+M847+M858+M894+M1030+M835+M888+M856+M1028</f>
        <v>3608122.59</v>
      </c>
      <c r="N696" s="139">
        <f>N697+N715+N732+N839+N847+N858+N894+N1030+N835+N888+N856+N1028</f>
        <v>57615764.089999996</v>
      </c>
      <c r="O696" s="65">
        <f>SUM(B696:M696)</f>
        <v>57615764.09000002</v>
      </c>
      <c r="P696" s="76">
        <f>SUM(B694:I694)</f>
        <v>0</v>
      </c>
      <c r="S696" s="106">
        <f>N699+N708</f>
        <v>4671900</v>
      </c>
      <c r="T696" s="106"/>
      <c r="U696" s="106"/>
      <c r="V696" s="106"/>
      <c r="W696" s="106"/>
      <c r="X696" s="106"/>
      <c r="Y696" s="106"/>
      <c r="Z696" s="106"/>
      <c r="AA696" s="106"/>
      <c r="AB696" s="106"/>
      <c r="AC696" s="106"/>
      <c r="AD696" s="106"/>
      <c r="AE696" s="106"/>
      <c r="AF696" s="106"/>
      <c r="AG696" s="106"/>
      <c r="AH696" s="106"/>
    </row>
    <row r="697" spans="1:34" ht="12.75" customHeight="1">
      <c r="A697" s="27" t="s">
        <v>439</v>
      </c>
      <c r="B697" s="16">
        <f>B698+B706+B707+B708</f>
        <v>522900</v>
      </c>
      <c r="C697" s="16">
        <f aca="true" t="shared" si="134" ref="C697:M697">C698+C706+C707+C708</f>
        <v>501000</v>
      </c>
      <c r="D697" s="16">
        <f t="shared" si="134"/>
        <v>471000</v>
      </c>
      <c r="E697" s="16">
        <f t="shared" si="134"/>
        <v>471000</v>
      </c>
      <c r="F697" s="16">
        <f t="shared" si="134"/>
        <v>471000</v>
      </c>
      <c r="G697" s="16">
        <f t="shared" si="134"/>
        <v>471000</v>
      </c>
      <c r="H697" s="16">
        <f t="shared" si="134"/>
        <v>471000</v>
      </c>
      <c r="I697" s="16">
        <f t="shared" si="134"/>
        <v>471000</v>
      </c>
      <c r="J697" s="16">
        <f t="shared" si="134"/>
        <v>471000</v>
      </c>
      <c r="K697" s="16">
        <f t="shared" si="134"/>
        <v>471000</v>
      </c>
      <c r="L697" s="16">
        <f t="shared" si="134"/>
        <v>521000</v>
      </c>
      <c r="M697" s="16">
        <f t="shared" si="134"/>
        <v>471000</v>
      </c>
      <c r="N697" s="16">
        <f>N698+N706+N707+N708</f>
        <v>5783900</v>
      </c>
      <c r="P697" s="76">
        <f>SUM(B695:I695)</f>
        <v>0</v>
      </c>
      <c r="T697" s="106"/>
      <c r="U697" s="106"/>
      <c r="V697" s="106"/>
      <c r="W697" s="106"/>
      <c r="X697" s="106"/>
      <c r="Y697" s="106"/>
      <c r="Z697" s="106"/>
      <c r="AA697" s="106"/>
      <c r="AB697" s="106"/>
      <c r="AC697" s="106"/>
      <c r="AD697" s="106"/>
      <c r="AE697" s="106"/>
      <c r="AF697" s="106"/>
      <c r="AG697" s="106"/>
      <c r="AH697" s="106"/>
    </row>
    <row r="698" spans="1:34" s="28" customFormat="1" ht="12" customHeight="1">
      <c r="A698" s="27" t="s">
        <v>905</v>
      </c>
      <c r="B698" s="137">
        <f aca="true" t="shared" si="135" ref="B698:N698">SUM(B699:B705)</f>
        <v>466000</v>
      </c>
      <c r="C698" s="137">
        <f t="shared" si="135"/>
        <v>496000</v>
      </c>
      <c r="D698" s="137">
        <f t="shared" si="135"/>
        <v>466000</v>
      </c>
      <c r="E698" s="137">
        <f t="shared" si="135"/>
        <v>466000</v>
      </c>
      <c r="F698" s="137">
        <f t="shared" si="135"/>
        <v>466000</v>
      </c>
      <c r="G698" s="137">
        <f t="shared" si="135"/>
        <v>466000</v>
      </c>
      <c r="H698" s="137">
        <f t="shared" si="135"/>
        <v>466000</v>
      </c>
      <c r="I698" s="137">
        <f t="shared" si="135"/>
        <v>466000</v>
      </c>
      <c r="J698" s="137">
        <f t="shared" si="135"/>
        <v>466000</v>
      </c>
      <c r="K698" s="137">
        <f t="shared" si="135"/>
        <v>466000</v>
      </c>
      <c r="L698" s="137">
        <f t="shared" si="135"/>
        <v>516000</v>
      </c>
      <c r="M698" s="137">
        <f t="shared" si="135"/>
        <v>466000</v>
      </c>
      <c r="N698" s="137">
        <f t="shared" si="135"/>
        <v>5672000</v>
      </c>
      <c r="O698" s="12">
        <f>O696-N696</f>
        <v>0</v>
      </c>
      <c r="P698" s="65">
        <f>SUM(B697:I697)</f>
        <v>3849900</v>
      </c>
      <c r="Q698" s="68"/>
      <c r="R698" s="117"/>
      <c r="S698" s="117"/>
      <c r="T698" s="117"/>
      <c r="U698" s="117"/>
      <c r="V698" s="117"/>
      <c r="W698" s="117"/>
      <c r="X698" s="117"/>
      <c r="Y698" s="117"/>
      <c r="Z698" s="117"/>
      <c r="AA698" s="117"/>
      <c r="AB698" s="117"/>
      <c r="AC698" s="117"/>
      <c r="AD698" s="117"/>
      <c r="AE698" s="117"/>
      <c r="AF698" s="117"/>
      <c r="AG698" s="117"/>
      <c r="AH698" s="117"/>
    </row>
    <row r="699" spans="1:34" s="24" customFormat="1" ht="12" customHeight="1">
      <c r="A699" s="26" t="s">
        <v>701</v>
      </c>
      <c r="B699" s="4">
        <v>380000</v>
      </c>
      <c r="C699" s="4">
        <v>380000</v>
      </c>
      <c r="D699" s="4">
        <v>380000</v>
      </c>
      <c r="E699" s="4">
        <v>380000</v>
      </c>
      <c r="F699" s="4">
        <v>380000</v>
      </c>
      <c r="G699" s="4">
        <v>380000</v>
      </c>
      <c r="H699" s="4">
        <v>380000</v>
      </c>
      <c r="I699" s="4">
        <v>380000</v>
      </c>
      <c r="J699" s="4">
        <v>380000</v>
      </c>
      <c r="K699" s="4">
        <v>380000</v>
      </c>
      <c r="L699" s="4">
        <v>380000</v>
      </c>
      <c r="M699" s="4">
        <v>380000</v>
      </c>
      <c r="N699" s="19">
        <f aca="true" t="shared" si="136" ref="N699:N714">SUM(B699:M699)</f>
        <v>4560000</v>
      </c>
      <c r="O699" s="66">
        <f>SUM(N699:N707)</f>
        <v>5672000</v>
      </c>
      <c r="P699" s="76"/>
      <c r="Q699" s="69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</row>
    <row r="700" spans="1:34" s="24" customFormat="1" ht="12" customHeight="1">
      <c r="A700" s="26" t="s">
        <v>963</v>
      </c>
      <c r="B700" s="4">
        <v>8000</v>
      </c>
      <c r="C700" s="4">
        <v>8000</v>
      </c>
      <c r="D700" s="4">
        <v>8000</v>
      </c>
      <c r="E700" s="4">
        <v>8000</v>
      </c>
      <c r="F700" s="4">
        <v>8000</v>
      </c>
      <c r="G700" s="4">
        <v>8000</v>
      </c>
      <c r="H700" s="4">
        <v>8000</v>
      </c>
      <c r="I700" s="4">
        <v>8000</v>
      </c>
      <c r="J700" s="4">
        <v>8000</v>
      </c>
      <c r="K700" s="4">
        <v>8000</v>
      </c>
      <c r="L700" s="4">
        <v>8000</v>
      </c>
      <c r="M700" s="4">
        <v>8000</v>
      </c>
      <c r="N700" s="19">
        <f t="shared" si="136"/>
        <v>96000</v>
      </c>
      <c r="P700" s="76"/>
      <c r="Q700" s="69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</row>
    <row r="701" spans="1:34" s="24" customFormat="1" ht="12" customHeight="1">
      <c r="A701" s="26" t="s">
        <v>808</v>
      </c>
      <c r="B701" s="4">
        <v>28000</v>
      </c>
      <c r="C701" s="4">
        <v>28000</v>
      </c>
      <c r="D701" s="4">
        <v>28000</v>
      </c>
      <c r="E701" s="4">
        <v>28000</v>
      </c>
      <c r="F701" s="4">
        <v>28000</v>
      </c>
      <c r="G701" s="4">
        <v>28000</v>
      </c>
      <c r="H701" s="4">
        <v>28000</v>
      </c>
      <c r="I701" s="4">
        <v>28000</v>
      </c>
      <c r="J701" s="4">
        <v>28000</v>
      </c>
      <c r="K701" s="4">
        <v>28000</v>
      </c>
      <c r="L701" s="4">
        <v>28000</v>
      </c>
      <c r="M701" s="4">
        <v>28000</v>
      </c>
      <c r="N701" s="19">
        <f t="shared" si="136"/>
        <v>336000</v>
      </c>
      <c r="P701" s="76"/>
      <c r="Q701" s="69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</row>
    <row r="702" spans="1:34" s="24" customFormat="1" ht="12" customHeight="1">
      <c r="A702" s="26" t="s">
        <v>700</v>
      </c>
      <c r="B702" s="4">
        <v>50000</v>
      </c>
      <c r="C702" s="4">
        <v>50000</v>
      </c>
      <c r="D702" s="4">
        <v>50000</v>
      </c>
      <c r="E702" s="4">
        <v>50000</v>
      </c>
      <c r="F702" s="4">
        <v>50000</v>
      </c>
      <c r="G702" s="4">
        <v>50000</v>
      </c>
      <c r="H702" s="4">
        <v>50000</v>
      </c>
      <c r="I702" s="4">
        <v>50000</v>
      </c>
      <c r="J702" s="4">
        <v>50000</v>
      </c>
      <c r="K702" s="4">
        <v>50000</v>
      </c>
      <c r="L702" s="4">
        <v>50000</v>
      </c>
      <c r="M702" s="4">
        <v>50000</v>
      </c>
      <c r="N702" s="19">
        <f t="shared" si="136"/>
        <v>600000</v>
      </c>
      <c r="P702" s="76"/>
      <c r="Q702" s="69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</row>
    <row r="703" spans="1:34" s="24" customFormat="1" ht="12" customHeight="1">
      <c r="A703" s="3" t="s">
        <v>708</v>
      </c>
      <c r="B703" s="4"/>
      <c r="C703" s="4">
        <v>30000</v>
      </c>
      <c r="D703" s="4"/>
      <c r="E703" s="4"/>
      <c r="F703" s="159"/>
      <c r="G703" s="4"/>
      <c r="H703" s="4"/>
      <c r="I703" s="4"/>
      <c r="J703" s="4"/>
      <c r="K703" s="4"/>
      <c r="L703" s="4"/>
      <c r="M703" s="4"/>
      <c r="N703" s="19">
        <f t="shared" si="136"/>
        <v>30000</v>
      </c>
      <c r="P703" s="76"/>
      <c r="Q703" s="69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</row>
    <row r="704" spans="1:34" s="24" customFormat="1" ht="12" customHeight="1">
      <c r="A704" s="3" t="s">
        <v>546</v>
      </c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9">
        <f t="shared" si="136"/>
        <v>0</v>
      </c>
      <c r="P704" s="76"/>
      <c r="Q704" s="69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</row>
    <row r="705" spans="1:34" s="24" customFormat="1" ht="12" customHeight="1">
      <c r="A705" s="3" t="s">
        <v>962</v>
      </c>
      <c r="B705" s="4"/>
      <c r="C705" s="4"/>
      <c r="D705" s="4"/>
      <c r="E705" s="4"/>
      <c r="F705" s="4"/>
      <c r="G705" s="4"/>
      <c r="H705" s="240"/>
      <c r="I705" s="4"/>
      <c r="J705" s="4"/>
      <c r="K705" s="4"/>
      <c r="L705" s="4">
        <v>50000</v>
      </c>
      <c r="M705" s="4"/>
      <c r="N705" s="19">
        <f t="shared" si="136"/>
        <v>50000</v>
      </c>
      <c r="P705" s="76" t="e">
        <f>SUM(#REF!)</f>
        <v>#REF!</v>
      </c>
      <c r="Q705" s="69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</row>
    <row r="706" spans="1:34" s="24" customFormat="1" ht="12" customHeight="1" hidden="1">
      <c r="A706" s="26" t="s">
        <v>116</v>
      </c>
      <c r="B706" s="136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9">
        <f t="shared" si="136"/>
        <v>0</v>
      </c>
      <c r="P706" s="76" t="e">
        <f>SUM(#REF!)</f>
        <v>#REF!</v>
      </c>
      <c r="Q706" s="69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</row>
    <row r="707" spans="1:34" s="24" customFormat="1" ht="12" hidden="1">
      <c r="A707" s="26" t="s">
        <v>117</v>
      </c>
      <c r="B707" s="136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9">
        <f t="shared" si="136"/>
        <v>0</v>
      </c>
      <c r="P707" s="76" t="e">
        <f>SUM(#REF!)</f>
        <v>#REF!</v>
      </c>
      <c r="Q707" s="69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>
        <f>185000/12</f>
        <v>15416.666666666666</v>
      </c>
    </row>
    <row r="708" spans="1:34" s="24" customFormat="1" ht="12">
      <c r="A708" s="27" t="s">
        <v>171</v>
      </c>
      <c r="B708" s="137">
        <f>SUM(B709:B714)</f>
        <v>56900</v>
      </c>
      <c r="C708" s="137">
        <f aca="true" t="shared" si="137" ref="C708:M708">SUM(C709:C714)</f>
        <v>5000</v>
      </c>
      <c r="D708" s="137">
        <f t="shared" si="137"/>
        <v>5000</v>
      </c>
      <c r="E708" s="137">
        <f t="shared" si="137"/>
        <v>5000</v>
      </c>
      <c r="F708" s="137">
        <f t="shared" si="137"/>
        <v>5000</v>
      </c>
      <c r="G708" s="137">
        <f t="shared" si="137"/>
        <v>5000</v>
      </c>
      <c r="H708" s="137">
        <f t="shared" si="137"/>
        <v>5000</v>
      </c>
      <c r="I708" s="137">
        <f t="shared" si="137"/>
        <v>5000</v>
      </c>
      <c r="J708" s="137">
        <f t="shared" si="137"/>
        <v>5000</v>
      </c>
      <c r="K708" s="137">
        <f t="shared" si="137"/>
        <v>5000</v>
      </c>
      <c r="L708" s="137">
        <f t="shared" si="137"/>
        <v>5000</v>
      </c>
      <c r="M708" s="137">
        <f t="shared" si="137"/>
        <v>5000</v>
      </c>
      <c r="N708" s="20">
        <f t="shared" si="136"/>
        <v>111900</v>
      </c>
      <c r="P708" s="76"/>
      <c r="Q708" s="69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</row>
    <row r="709" spans="1:34" s="24" customFormat="1" ht="12">
      <c r="A709" s="26" t="s">
        <v>753</v>
      </c>
      <c r="B709" s="136">
        <f>4500*5</f>
        <v>22500</v>
      </c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9">
        <f t="shared" si="136"/>
        <v>22500</v>
      </c>
      <c r="P709" s="76"/>
      <c r="Q709" s="69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</row>
    <row r="710" spans="1:34" s="24" customFormat="1" ht="12">
      <c r="A710" s="26" t="s">
        <v>754</v>
      </c>
      <c r="B710" s="136">
        <f>4000*4</f>
        <v>16000</v>
      </c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9">
        <f t="shared" si="136"/>
        <v>16000</v>
      </c>
      <c r="P710" s="76"/>
      <c r="Q710" s="69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</row>
    <row r="711" spans="1:34" s="24" customFormat="1" ht="12">
      <c r="A711" s="26" t="s">
        <v>755</v>
      </c>
      <c r="B711" s="136">
        <f>2500*4</f>
        <v>10000</v>
      </c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9">
        <f t="shared" si="136"/>
        <v>10000</v>
      </c>
      <c r="P711" s="76"/>
      <c r="Q711" s="69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</row>
    <row r="712" spans="1:34" s="24" customFormat="1" ht="12">
      <c r="A712" s="26" t="s">
        <v>757</v>
      </c>
      <c r="B712" s="136">
        <f>1700*2</f>
        <v>3400</v>
      </c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9">
        <f t="shared" si="136"/>
        <v>3400</v>
      </c>
      <c r="P712" s="76"/>
      <c r="Q712" s="69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</row>
    <row r="713" spans="1:34" s="24" customFormat="1" ht="12">
      <c r="A713" s="26" t="s">
        <v>859</v>
      </c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9">
        <f t="shared" si="136"/>
        <v>0</v>
      </c>
      <c r="P713" s="76"/>
      <c r="Q713" s="69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</row>
    <row r="714" spans="1:34" s="28" customFormat="1" ht="12" customHeight="1">
      <c r="A714" s="26" t="s">
        <v>321</v>
      </c>
      <c r="B714" s="136">
        <v>5000</v>
      </c>
      <c r="C714" s="136">
        <v>5000</v>
      </c>
      <c r="D714" s="136">
        <v>5000</v>
      </c>
      <c r="E714" s="136">
        <v>5000</v>
      </c>
      <c r="F714" s="136">
        <v>5000</v>
      </c>
      <c r="G714" s="136">
        <v>5000</v>
      </c>
      <c r="H714" s="136">
        <v>5000</v>
      </c>
      <c r="I714" s="136">
        <v>5000</v>
      </c>
      <c r="J714" s="136">
        <v>5000</v>
      </c>
      <c r="K714" s="136">
        <v>5000</v>
      </c>
      <c r="L714" s="136">
        <v>5000</v>
      </c>
      <c r="M714" s="136">
        <v>5000</v>
      </c>
      <c r="N714" s="19">
        <f t="shared" si="136"/>
        <v>60000</v>
      </c>
      <c r="O714" s="24"/>
      <c r="P714" s="76">
        <f>SUM(B706:I706)</f>
        <v>0</v>
      </c>
      <c r="Q714" s="68"/>
      <c r="R714" s="117"/>
      <c r="S714" s="117">
        <f>SUM(N716:N727)</f>
        <v>19976000</v>
      </c>
      <c r="T714" s="117"/>
      <c r="U714" s="117"/>
      <c r="V714" s="117"/>
      <c r="W714" s="117"/>
      <c r="X714" s="117"/>
      <c r="Y714" s="117"/>
      <c r="Z714" s="117"/>
      <c r="AA714" s="117"/>
      <c r="AB714" s="117"/>
      <c r="AC714" s="117"/>
      <c r="AD714" s="117"/>
      <c r="AE714" s="117"/>
      <c r="AF714" s="117"/>
      <c r="AG714" s="117"/>
      <c r="AH714" s="117"/>
    </row>
    <row r="715" spans="1:34" s="28" customFormat="1" ht="12" customHeight="1">
      <c r="A715" s="27" t="s">
        <v>118</v>
      </c>
      <c r="B715" s="137">
        <f>B716+B725</f>
        <v>2531500</v>
      </c>
      <c r="C715" s="137">
        <f aca="true" t="shared" si="138" ref="C715:M715">C716+C725</f>
        <v>3178840</v>
      </c>
      <c r="D715" s="137">
        <f t="shared" si="138"/>
        <v>2033830</v>
      </c>
      <c r="E715" s="137">
        <f t="shared" si="138"/>
        <v>0</v>
      </c>
      <c r="F715" s="137">
        <f t="shared" si="138"/>
        <v>1723830</v>
      </c>
      <c r="G715" s="137">
        <f t="shared" si="138"/>
        <v>0</v>
      </c>
      <c r="H715" s="137">
        <f t="shared" si="138"/>
        <v>0</v>
      </c>
      <c r="I715" s="137">
        <f t="shared" si="138"/>
        <v>0</v>
      </c>
      <c r="J715" s="137">
        <f t="shared" si="138"/>
        <v>57000</v>
      </c>
      <c r="K715" s="137">
        <f t="shared" si="138"/>
        <v>475000</v>
      </c>
      <c r="L715" s="137">
        <f>L716+L725</f>
        <v>0</v>
      </c>
      <c r="M715" s="137">
        <f t="shared" si="138"/>
        <v>0</v>
      </c>
      <c r="N715" s="137">
        <f>N716+N725</f>
        <v>10000000</v>
      </c>
      <c r="P715" s="65">
        <f>SUM(B707:I707)</f>
        <v>0</v>
      </c>
      <c r="Q715" s="68"/>
      <c r="R715" s="117"/>
      <c r="S715" s="117"/>
      <c r="T715" s="117"/>
      <c r="U715" s="117"/>
      <c r="V715" s="117"/>
      <c r="W715" s="117"/>
      <c r="X715" s="117"/>
      <c r="Y715" s="117"/>
      <c r="Z715" s="117"/>
      <c r="AA715" s="117"/>
      <c r="AB715" s="117"/>
      <c r="AC715" s="117"/>
      <c r="AD715" s="117"/>
      <c r="AE715" s="117"/>
      <c r="AF715" s="117"/>
      <c r="AG715" s="117"/>
      <c r="AH715" s="117"/>
    </row>
    <row r="716" spans="1:34" s="24" customFormat="1" ht="12" customHeight="1">
      <c r="A716" s="27" t="s">
        <v>587</v>
      </c>
      <c r="B716" s="137">
        <f aca="true" t="shared" si="139" ref="B716:M716">SUM(B717:B722)</f>
        <v>2500000</v>
      </c>
      <c r="C716" s="137">
        <f t="shared" si="139"/>
        <v>3178840</v>
      </c>
      <c r="D716" s="137">
        <f t="shared" si="139"/>
        <v>2033830</v>
      </c>
      <c r="E716" s="137">
        <f t="shared" si="139"/>
        <v>0</v>
      </c>
      <c r="F716" s="137">
        <f t="shared" si="139"/>
        <v>1723830</v>
      </c>
      <c r="G716" s="137">
        <f t="shared" si="139"/>
        <v>0</v>
      </c>
      <c r="H716" s="137">
        <f t="shared" si="139"/>
        <v>0</v>
      </c>
      <c r="I716" s="137">
        <f t="shared" si="139"/>
        <v>0</v>
      </c>
      <c r="J716" s="137">
        <f t="shared" si="139"/>
        <v>57000</v>
      </c>
      <c r="K716" s="137">
        <f t="shared" si="139"/>
        <v>475000</v>
      </c>
      <c r="L716" s="137">
        <f t="shared" si="139"/>
        <v>0</v>
      </c>
      <c r="M716" s="137">
        <f t="shared" si="139"/>
        <v>0</v>
      </c>
      <c r="N716" s="20">
        <f aca="true" t="shared" si="140" ref="N716:N721">SUM(B716:M716)</f>
        <v>9968500</v>
      </c>
      <c r="O716" s="66">
        <f>SUM(N717:N725)</f>
        <v>10000000</v>
      </c>
      <c r="P716" s="76">
        <f>SUM(B708:I708)</f>
        <v>91900</v>
      </c>
      <c r="Q716" s="69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</row>
    <row r="717" spans="1:34" s="24" customFormat="1" ht="12" customHeight="1">
      <c r="A717" s="3" t="s">
        <v>600</v>
      </c>
      <c r="B717" s="136"/>
      <c r="C717" s="4">
        <v>209000</v>
      </c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9">
        <f t="shared" si="140"/>
        <v>209000</v>
      </c>
      <c r="P717" s="76"/>
      <c r="Q717" s="69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</row>
    <row r="718" spans="1:34" s="24" customFormat="1" ht="12" customHeight="1">
      <c r="A718" s="3" t="s">
        <v>992</v>
      </c>
      <c r="B718" s="493">
        <v>2500000</v>
      </c>
      <c r="C718" s="494">
        <v>2500000</v>
      </c>
      <c r="D718" s="493">
        <v>1723830</v>
      </c>
      <c r="E718" s="493"/>
      <c r="F718" s="493">
        <v>1723830</v>
      </c>
      <c r="G718" s="493"/>
      <c r="H718" s="493"/>
      <c r="I718" s="493"/>
      <c r="J718" s="493"/>
      <c r="K718" s="493"/>
      <c r="L718" s="493"/>
      <c r="M718" s="493"/>
      <c r="N718" s="19">
        <f t="shared" si="140"/>
        <v>8447660</v>
      </c>
      <c r="P718" s="76"/>
      <c r="Q718" s="69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</row>
    <row r="719" spans="1:34" s="24" customFormat="1" ht="12" customHeight="1">
      <c r="A719" s="3" t="s">
        <v>601</v>
      </c>
      <c r="B719" s="136"/>
      <c r="C719" s="136">
        <v>51840</v>
      </c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9">
        <f t="shared" si="140"/>
        <v>51840</v>
      </c>
      <c r="P719" s="76"/>
      <c r="Q719" s="69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</row>
    <row r="720" spans="1:34" s="24" customFormat="1" ht="12" customHeight="1">
      <c r="A720" s="3" t="s">
        <v>694</v>
      </c>
      <c r="B720" s="136"/>
      <c r="D720" s="136">
        <v>200000</v>
      </c>
      <c r="E720" s="136"/>
      <c r="F720" s="136"/>
      <c r="G720" s="136"/>
      <c r="H720" s="136"/>
      <c r="I720" s="136"/>
      <c r="J720" s="136"/>
      <c r="K720" s="136"/>
      <c r="L720" s="136"/>
      <c r="M720" s="136"/>
      <c r="N720" s="19">
        <f t="shared" si="140"/>
        <v>200000</v>
      </c>
      <c r="P720" s="76"/>
      <c r="Q720" s="69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</row>
    <row r="721" spans="1:34" s="24" customFormat="1" ht="12" customHeight="1">
      <c r="A721" s="3" t="s">
        <v>695</v>
      </c>
      <c r="B721" s="136"/>
      <c r="C721" s="136"/>
      <c r="D721" s="136">
        <v>110000</v>
      </c>
      <c r="E721" s="136"/>
      <c r="F721" s="136"/>
      <c r="G721" s="136"/>
      <c r="H721" s="136"/>
      <c r="I721" s="136"/>
      <c r="J721" s="136"/>
      <c r="K721" s="136"/>
      <c r="L721" s="136"/>
      <c r="M721" s="136"/>
      <c r="N721" s="19">
        <f t="shared" si="140"/>
        <v>110000</v>
      </c>
      <c r="P721" s="76"/>
      <c r="Q721" s="69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</row>
    <row r="722" spans="1:34" s="24" customFormat="1" ht="12" customHeight="1">
      <c r="A722" s="3" t="s">
        <v>696</v>
      </c>
      <c r="B722" s="3"/>
      <c r="C722" s="136">
        <v>418000</v>
      </c>
      <c r="D722" s="136"/>
      <c r="E722" s="136"/>
      <c r="F722" s="136"/>
      <c r="G722" s="136"/>
      <c r="H722" s="136"/>
      <c r="I722" s="136"/>
      <c r="J722" s="136">
        <v>57000</v>
      </c>
      <c r="K722" s="136">
        <v>475000</v>
      </c>
      <c r="L722" s="136"/>
      <c r="M722" s="136"/>
      <c r="N722" s="19">
        <f>SUM(C722:M722)</f>
        <v>950000</v>
      </c>
      <c r="P722" s="76"/>
      <c r="Q722" s="69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</row>
    <row r="723" spans="1:34" s="24" customFormat="1" ht="12" customHeight="1">
      <c r="A723" s="3" t="s">
        <v>746</v>
      </c>
      <c r="B723" s="3">
        <v>9500</v>
      </c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9">
        <f>SUM(C723:M723)</f>
        <v>0</v>
      </c>
      <c r="P723" s="76"/>
      <c r="Q723" s="69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</row>
    <row r="724" spans="1:34" s="28" customFormat="1" ht="12" customHeight="1">
      <c r="A724" s="3" t="s">
        <v>878</v>
      </c>
      <c r="B724" s="3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9">
        <f>SUM(C724:M724)</f>
        <v>0</v>
      </c>
      <c r="O724" s="24"/>
      <c r="P724" s="65"/>
      <c r="Q724" s="68"/>
      <c r="R724" s="117"/>
      <c r="S724" s="117"/>
      <c r="T724" s="117"/>
      <c r="U724" s="117"/>
      <c r="V724" s="117"/>
      <c r="W724" s="117"/>
      <c r="X724" s="117"/>
      <c r="Y724" s="117"/>
      <c r="Z724" s="117"/>
      <c r="AA724" s="117"/>
      <c r="AB724" s="117"/>
      <c r="AC724" s="117"/>
      <c r="AD724" s="117"/>
      <c r="AE724" s="117"/>
      <c r="AF724" s="117"/>
      <c r="AG724" s="117"/>
      <c r="AH724" s="117"/>
    </row>
    <row r="725" spans="1:34" s="24" customFormat="1" ht="12" customHeight="1">
      <c r="A725" s="15" t="s">
        <v>188</v>
      </c>
      <c r="B725" s="137">
        <f>SUM(B726:B729)</f>
        <v>31500</v>
      </c>
      <c r="C725" s="137">
        <f aca="true" t="shared" si="141" ref="C725:M725">SUM(C726:C729)</f>
        <v>0</v>
      </c>
      <c r="D725" s="137">
        <f t="shared" si="141"/>
        <v>0</v>
      </c>
      <c r="E725" s="137">
        <f t="shared" si="141"/>
        <v>0</v>
      </c>
      <c r="F725" s="137">
        <f t="shared" si="141"/>
        <v>0</v>
      </c>
      <c r="G725" s="137">
        <f t="shared" si="141"/>
        <v>0</v>
      </c>
      <c r="H725" s="137">
        <f t="shared" si="141"/>
        <v>0</v>
      </c>
      <c r="I725" s="137">
        <f t="shared" si="141"/>
        <v>0</v>
      </c>
      <c r="J725" s="137">
        <f t="shared" si="141"/>
        <v>0</v>
      </c>
      <c r="K725" s="137">
        <f t="shared" si="141"/>
        <v>0</v>
      </c>
      <c r="L725" s="137">
        <f t="shared" si="141"/>
        <v>0</v>
      </c>
      <c r="M725" s="137">
        <f t="shared" si="141"/>
        <v>0</v>
      </c>
      <c r="N725" s="20">
        <f>SUM(B725:M725)</f>
        <v>31500</v>
      </c>
      <c r="O725" s="28"/>
      <c r="P725" s="76"/>
      <c r="Q725" s="69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</row>
    <row r="726" spans="1:34" s="24" customFormat="1" ht="12" customHeight="1">
      <c r="A726" s="3" t="s">
        <v>763</v>
      </c>
      <c r="B726" s="136">
        <v>1500</v>
      </c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9">
        <f>SUM(B726:M726)</f>
        <v>1500</v>
      </c>
      <c r="P726" s="76"/>
      <c r="Q726" s="69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</row>
    <row r="727" spans="1:34" s="24" customFormat="1" ht="12" customHeight="1">
      <c r="A727" s="3" t="s">
        <v>756</v>
      </c>
      <c r="B727" s="136">
        <f>3000*2</f>
        <v>6000</v>
      </c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9">
        <f>SUM(B727:M727)</f>
        <v>6000</v>
      </c>
      <c r="P727" s="76"/>
      <c r="Q727" s="69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</row>
    <row r="728" spans="1:34" s="24" customFormat="1" ht="12" customHeight="1">
      <c r="A728" s="3" t="s">
        <v>762</v>
      </c>
      <c r="B728" s="136">
        <f>3000*6</f>
        <v>18000</v>
      </c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9">
        <f>SUM(B728:M728)</f>
        <v>18000</v>
      </c>
      <c r="P728" s="76"/>
      <c r="Q728" s="69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</row>
    <row r="729" spans="1:34" s="24" customFormat="1" ht="12" customHeight="1">
      <c r="A729" s="3" t="s">
        <v>764</v>
      </c>
      <c r="B729" s="136">
        <f>1500*4</f>
        <v>6000</v>
      </c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9">
        <f>SUM(B729:M729)</f>
        <v>6000</v>
      </c>
      <c r="P729" s="76"/>
      <c r="Q729" s="69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</row>
    <row r="730" spans="1:34" s="24" customFormat="1" ht="12" customHeight="1">
      <c r="A730" s="3"/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9"/>
      <c r="P730" s="76"/>
      <c r="Q730" s="69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</row>
    <row r="731" spans="1:34" s="48" customFormat="1" ht="12.75" customHeight="1">
      <c r="A731" s="3"/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9"/>
      <c r="O731" s="24"/>
      <c r="P731" s="76">
        <f>SUM(B725:I725)</f>
        <v>31500</v>
      </c>
      <c r="Q731" s="83"/>
      <c r="R731" s="107">
        <f>SUM(B725:M725)</f>
        <v>31500</v>
      </c>
      <c r="S731" s="107">
        <f>N733+N753+N771+N794+N832</f>
        <v>5566764.97</v>
      </c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</row>
    <row r="732" spans="1:34" s="28" customFormat="1" ht="12.75" customHeight="1">
      <c r="A732" s="15" t="s">
        <v>115</v>
      </c>
      <c r="B732" s="137">
        <f aca="true" t="shared" si="142" ref="B732:L732">B733+B753+B794+B832+B833+B771</f>
        <v>484313.75</v>
      </c>
      <c r="C732" s="137">
        <f t="shared" si="142"/>
        <v>524313.75</v>
      </c>
      <c r="D732" s="137">
        <f t="shared" si="142"/>
        <v>484313.75</v>
      </c>
      <c r="E732" s="137">
        <f t="shared" si="142"/>
        <v>447647.08</v>
      </c>
      <c r="F732" s="137">
        <f t="shared" si="142"/>
        <v>462647.08</v>
      </c>
      <c r="G732" s="137">
        <f t="shared" si="142"/>
        <v>477647.08</v>
      </c>
      <c r="H732" s="137">
        <f t="shared" si="142"/>
        <v>447647.08</v>
      </c>
      <c r="I732" s="137">
        <f t="shared" si="142"/>
        <v>447647.08</v>
      </c>
      <c r="J732" s="137">
        <f t="shared" si="142"/>
        <v>447647.08</v>
      </c>
      <c r="K732" s="137">
        <f t="shared" si="142"/>
        <v>447647.08</v>
      </c>
      <c r="L732" s="137">
        <f t="shared" si="142"/>
        <v>447647.08</v>
      </c>
      <c r="M732" s="137">
        <f>M733+M753+M794+M832+M833+M771</f>
        <v>447647.08</v>
      </c>
      <c r="N732" s="16">
        <f aca="true" t="shared" si="143" ref="N732:N763">SUM(B732:M732)</f>
        <v>5566764.970000001</v>
      </c>
      <c r="O732" s="293">
        <f>N733+N753+N771+N794</f>
        <v>5566764.97</v>
      </c>
      <c r="P732" s="65">
        <f>SUM(B726:I726)</f>
        <v>1500</v>
      </c>
      <c r="Q732" s="68"/>
      <c r="R732" s="117"/>
      <c r="S732" s="117">
        <f>SUM(N734:N752)</f>
        <v>4620000.240000001</v>
      </c>
      <c r="T732" s="117"/>
      <c r="U732" s="117"/>
      <c r="V732" s="117"/>
      <c r="W732" s="117"/>
      <c r="X732" s="117"/>
      <c r="Y732" s="117"/>
      <c r="Z732" s="117"/>
      <c r="AA732" s="117"/>
      <c r="AB732" s="117"/>
      <c r="AC732" s="117"/>
      <c r="AD732" s="117"/>
      <c r="AE732" s="117"/>
      <c r="AF732" s="117"/>
      <c r="AG732" s="117"/>
      <c r="AH732" s="117"/>
    </row>
    <row r="733" spans="1:34" s="24" customFormat="1" ht="12">
      <c r="A733" s="15" t="s">
        <v>161</v>
      </c>
      <c r="B733" s="137">
        <f aca="true" t="shared" si="144" ref="B733:M733">SUM(B734:B752)</f>
        <v>385000.02</v>
      </c>
      <c r="C733" s="137">
        <f t="shared" si="144"/>
        <v>385000.02</v>
      </c>
      <c r="D733" s="137">
        <f t="shared" si="144"/>
        <v>385000.02</v>
      </c>
      <c r="E733" s="137">
        <f t="shared" si="144"/>
        <v>385000.02</v>
      </c>
      <c r="F733" s="137">
        <f t="shared" si="144"/>
        <v>385000.02</v>
      </c>
      <c r="G733" s="137">
        <f t="shared" si="144"/>
        <v>385000.02</v>
      </c>
      <c r="H733" s="137">
        <f t="shared" si="144"/>
        <v>385000.02</v>
      </c>
      <c r="I733" s="137">
        <f t="shared" si="144"/>
        <v>385000.02</v>
      </c>
      <c r="J733" s="137">
        <f t="shared" si="144"/>
        <v>385000.02</v>
      </c>
      <c r="K733" s="137">
        <f t="shared" si="144"/>
        <v>385000.02</v>
      </c>
      <c r="L733" s="137">
        <f t="shared" si="144"/>
        <v>385000.02</v>
      </c>
      <c r="M733" s="137">
        <f t="shared" si="144"/>
        <v>385000.02</v>
      </c>
      <c r="N733" s="20">
        <f t="shared" si="143"/>
        <v>4620000.24</v>
      </c>
      <c r="O733" s="28"/>
      <c r="P733" s="76"/>
      <c r="Q733" s="69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</row>
    <row r="734" spans="1:34" s="24" customFormat="1" ht="12" customHeight="1">
      <c r="A734" s="3" t="s">
        <v>236</v>
      </c>
      <c r="B734" s="136">
        <v>22647.06</v>
      </c>
      <c r="C734" s="136">
        <v>22647.06</v>
      </c>
      <c r="D734" s="136">
        <v>22647.06</v>
      </c>
      <c r="E734" s="136">
        <v>22647.06</v>
      </c>
      <c r="F734" s="136">
        <v>22647.06</v>
      </c>
      <c r="G734" s="136">
        <v>22647.06</v>
      </c>
      <c r="H734" s="136">
        <v>22647.06</v>
      </c>
      <c r="I734" s="136">
        <v>22647.06</v>
      </c>
      <c r="J734" s="136">
        <v>22647.06</v>
      </c>
      <c r="K734" s="136">
        <v>22647.06</v>
      </c>
      <c r="L734" s="136">
        <v>22647.06</v>
      </c>
      <c r="M734" s="136">
        <v>22647.06</v>
      </c>
      <c r="N734" s="19">
        <f t="shared" si="143"/>
        <v>271764.72000000003</v>
      </c>
      <c r="P734" s="76"/>
      <c r="Q734" s="69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</row>
    <row r="735" spans="1:34" s="24" customFormat="1" ht="12" customHeight="1">
      <c r="A735" s="3" t="s">
        <v>237</v>
      </c>
      <c r="B735" s="136">
        <v>22647.06</v>
      </c>
      <c r="C735" s="136">
        <v>22647.06</v>
      </c>
      <c r="D735" s="136">
        <v>22647.06</v>
      </c>
      <c r="E735" s="136">
        <v>22647.06</v>
      </c>
      <c r="F735" s="136">
        <v>22647.06</v>
      </c>
      <c r="G735" s="136">
        <v>22647.06</v>
      </c>
      <c r="H735" s="136">
        <v>22647.06</v>
      </c>
      <c r="I735" s="136">
        <v>22647.06</v>
      </c>
      <c r="J735" s="136">
        <v>22647.06</v>
      </c>
      <c r="K735" s="136">
        <v>22647.06</v>
      </c>
      <c r="L735" s="136">
        <v>22647.06</v>
      </c>
      <c r="M735" s="136">
        <v>22647.06</v>
      </c>
      <c r="N735" s="19">
        <f t="shared" si="143"/>
        <v>271764.72000000003</v>
      </c>
      <c r="P735" s="76"/>
      <c r="Q735" s="69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</row>
    <row r="736" spans="1:34" s="24" customFormat="1" ht="12" customHeight="1">
      <c r="A736" s="3" t="s">
        <v>466</v>
      </c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9">
        <f t="shared" si="143"/>
        <v>0</v>
      </c>
      <c r="P736" s="76"/>
      <c r="Q736" s="69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</row>
    <row r="737" spans="1:34" s="24" customFormat="1" ht="12" customHeight="1">
      <c r="A737" s="152" t="s">
        <v>467</v>
      </c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9">
        <f t="shared" si="143"/>
        <v>0</v>
      </c>
      <c r="P737" s="76"/>
      <c r="Q737" s="69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</row>
    <row r="738" spans="1:34" s="24" customFormat="1" ht="12">
      <c r="A738" s="3" t="s">
        <v>240</v>
      </c>
      <c r="B738" s="136">
        <v>22647.06</v>
      </c>
      <c r="C738" s="136">
        <v>22647.06</v>
      </c>
      <c r="D738" s="136">
        <v>22647.06</v>
      </c>
      <c r="E738" s="136">
        <v>22647.06</v>
      </c>
      <c r="F738" s="136">
        <v>22647.06</v>
      </c>
      <c r="G738" s="136">
        <v>22647.06</v>
      </c>
      <c r="H738" s="136">
        <v>22647.06</v>
      </c>
      <c r="I738" s="136">
        <v>22647.06</v>
      </c>
      <c r="J738" s="136">
        <v>22647.06</v>
      </c>
      <c r="K738" s="136">
        <v>22647.06</v>
      </c>
      <c r="L738" s="136">
        <v>22647.06</v>
      </c>
      <c r="M738" s="136">
        <v>22647.06</v>
      </c>
      <c r="N738" s="19">
        <f t="shared" si="143"/>
        <v>271764.72000000003</v>
      </c>
      <c r="P738" s="76"/>
      <c r="Q738" s="69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</row>
    <row r="739" spans="1:34" s="24" customFormat="1" ht="12" customHeight="1">
      <c r="A739" s="3" t="s">
        <v>241</v>
      </c>
      <c r="B739" s="136">
        <v>22647.06</v>
      </c>
      <c r="C739" s="136">
        <v>22647.06</v>
      </c>
      <c r="D739" s="136">
        <v>22647.06</v>
      </c>
      <c r="E739" s="136">
        <v>22647.06</v>
      </c>
      <c r="F739" s="136">
        <v>22647.06</v>
      </c>
      <c r="G739" s="136">
        <v>22647.06</v>
      </c>
      <c r="H739" s="136">
        <v>22647.06</v>
      </c>
      <c r="I739" s="136">
        <v>22647.06</v>
      </c>
      <c r="J739" s="136">
        <v>22647.06</v>
      </c>
      <c r="K739" s="136">
        <v>22647.06</v>
      </c>
      <c r="L739" s="136">
        <v>22647.06</v>
      </c>
      <c r="M739" s="136">
        <v>22647.06</v>
      </c>
      <c r="N739" s="19">
        <f t="shared" si="143"/>
        <v>271764.72000000003</v>
      </c>
      <c r="P739" s="76"/>
      <c r="Q739" s="69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</row>
    <row r="740" spans="1:34" s="24" customFormat="1" ht="12" customHeight="1">
      <c r="A740" s="3" t="s">
        <v>243</v>
      </c>
      <c r="B740" s="136">
        <v>22647.06</v>
      </c>
      <c r="C740" s="136">
        <v>22647.06</v>
      </c>
      <c r="D740" s="136">
        <v>22647.06</v>
      </c>
      <c r="E740" s="136">
        <v>22647.06</v>
      </c>
      <c r="F740" s="136">
        <v>22647.06</v>
      </c>
      <c r="G740" s="136">
        <v>22647.06</v>
      </c>
      <c r="H740" s="136">
        <v>22647.06</v>
      </c>
      <c r="I740" s="136">
        <v>22647.06</v>
      </c>
      <c r="J740" s="136">
        <v>22647.06</v>
      </c>
      <c r="K740" s="136">
        <v>22647.06</v>
      </c>
      <c r="L740" s="136">
        <v>22647.06</v>
      </c>
      <c r="M740" s="136">
        <v>22647.06</v>
      </c>
      <c r="N740" s="19">
        <f t="shared" si="143"/>
        <v>271764.72000000003</v>
      </c>
      <c r="P740" s="76"/>
      <c r="Q740" s="69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</row>
    <row r="741" spans="1:34" s="24" customFormat="1" ht="12" customHeight="1">
      <c r="A741" s="3" t="s">
        <v>244</v>
      </c>
      <c r="B741" s="136">
        <v>22647.06</v>
      </c>
      <c r="C741" s="136">
        <v>22647.06</v>
      </c>
      <c r="D741" s="136">
        <v>22647.06</v>
      </c>
      <c r="E741" s="136">
        <v>22647.06</v>
      </c>
      <c r="F741" s="136">
        <v>22647.06</v>
      </c>
      <c r="G741" s="136">
        <v>22647.06</v>
      </c>
      <c r="H741" s="136">
        <v>22647.06</v>
      </c>
      <c r="I741" s="136">
        <v>22647.06</v>
      </c>
      <c r="J741" s="136">
        <v>22647.06</v>
      </c>
      <c r="K741" s="136">
        <v>22647.06</v>
      </c>
      <c r="L741" s="136">
        <v>22647.06</v>
      </c>
      <c r="M741" s="136">
        <v>22647.06</v>
      </c>
      <c r="N741" s="19">
        <f t="shared" si="143"/>
        <v>271764.72000000003</v>
      </c>
      <c r="P741" s="76"/>
      <c r="Q741" s="69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</row>
    <row r="742" spans="1:34" s="24" customFormat="1" ht="12" customHeight="1">
      <c r="A742" s="3" t="s">
        <v>245</v>
      </c>
      <c r="B742" s="136">
        <v>22647.06</v>
      </c>
      <c r="C742" s="136">
        <v>22647.06</v>
      </c>
      <c r="D742" s="136">
        <v>22647.06</v>
      </c>
      <c r="E742" s="136">
        <v>22647.06</v>
      </c>
      <c r="F742" s="136">
        <v>22647.06</v>
      </c>
      <c r="G742" s="136">
        <v>22647.06</v>
      </c>
      <c r="H742" s="136">
        <v>22647.06</v>
      </c>
      <c r="I742" s="136">
        <v>22647.06</v>
      </c>
      <c r="J742" s="136">
        <v>22647.06</v>
      </c>
      <c r="K742" s="136">
        <v>22647.06</v>
      </c>
      <c r="L742" s="136">
        <v>22647.06</v>
      </c>
      <c r="M742" s="136">
        <v>22647.06</v>
      </c>
      <c r="N742" s="19">
        <f t="shared" si="143"/>
        <v>271764.72000000003</v>
      </c>
      <c r="P742" s="76"/>
      <c r="Q742" s="69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</row>
    <row r="743" spans="1:34" s="24" customFormat="1" ht="12" customHeight="1">
      <c r="A743" s="3" t="s">
        <v>246</v>
      </c>
      <c r="B743" s="136">
        <v>22647.06</v>
      </c>
      <c r="C743" s="136">
        <v>22647.06</v>
      </c>
      <c r="D743" s="136">
        <v>22647.06</v>
      </c>
      <c r="E743" s="136">
        <v>22647.06</v>
      </c>
      <c r="F743" s="136">
        <v>22647.06</v>
      </c>
      <c r="G743" s="136">
        <v>22647.06</v>
      </c>
      <c r="H743" s="136">
        <v>22647.06</v>
      </c>
      <c r="I743" s="136">
        <v>22647.06</v>
      </c>
      <c r="J743" s="136">
        <v>22647.06</v>
      </c>
      <c r="K743" s="136">
        <v>22647.06</v>
      </c>
      <c r="L743" s="136">
        <v>22647.06</v>
      </c>
      <c r="M743" s="136">
        <v>22647.06</v>
      </c>
      <c r="N743" s="19">
        <f t="shared" si="143"/>
        <v>271764.72000000003</v>
      </c>
      <c r="P743" s="76"/>
      <c r="Q743" s="69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</row>
    <row r="744" spans="1:34" s="24" customFormat="1" ht="12" customHeight="1">
      <c r="A744" s="3" t="s">
        <v>247</v>
      </c>
      <c r="B744" s="136">
        <v>22647.06</v>
      </c>
      <c r="C744" s="136">
        <v>22647.06</v>
      </c>
      <c r="D744" s="136">
        <v>22647.06</v>
      </c>
      <c r="E744" s="136">
        <v>22647.06</v>
      </c>
      <c r="F744" s="136">
        <v>22647.06</v>
      </c>
      <c r="G744" s="136">
        <v>22647.06</v>
      </c>
      <c r="H744" s="136">
        <v>22647.06</v>
      </c>
      <c r="I744" s="136">
        <v>22647.06</v>
      </c>
      <c r="J744" s="136">
        <v>22647.06</v>
      </c>
      <c r="K744" s="136">
        <v>22647.06</v>
      </c>
      <c r="L744" s="136">
        <v>22647.06</v>
      </c>
      <c r="M744" s="136">
        <v>22647.06</v>
      </c>
      <c r="N744" s="19">
        <f t="shared" si="143"/>
        <v>271764.72000000003</v>
      </c>
      <c r="P744" s="76"/>
      <c r="Q744" s="69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</row>
    <row r="745" spans="1:34" s="24" customFormat="1" ht="12" customHeight="1">
      <c r="A745" s="3" t="s">
        <v>336</v>
      </c>
      <c r="B745" s="136">
        <v>22647.06</v>
      </c>
      <c r="C745" s="136">
        <v>22647.06</v>
      </c>
      <c r="D745" s="136">
        <v>22647.06</v>
      </c>
      <c r="E745" s="136">
        <v>22647.06</v>
      </c>
      <c r="F745" s="136">
        <v>22647.06</v>
      </c>
      <c r="G745" s="136">
        <v>22647.06</v>
      </c>
      <c r="H745" s="136">
        <v>22647.06</v>
      </c>
      <c r="I745" s="136">
        <v>22647.06</v>
      </c>
      <c r="J745" s="136">
        <v>22647.06</v>
      </c>
      <c r="K745" s="136">
        <v>22647.06</v>
      </c>
      <c r="L745" s="136">
        <v>22647.06</v>
      </c>
      <c r="M745" s="136">
        <v>22647.06</v>
      </c>
      <c r="N745" s="19">
        <f t="shared" si="143"/>
        <v>271764.72000000003</v>
      </c>
      <c r="P745" s="76"/>
      <c r="Q745" s="69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</row>
    <row r="746" spans="1:34" s="24" customFormat="1" ht="12">
      <c r="A746" s="3" t="s">
        <v>249</v>
      </c>
      <c r="B746" s="136">
        <v>22647.06</v>
      </c>
      <c r="C746" s="136">
        <v>22647.06</v>
      </c>
      <c r="D746" s="136">
        <v>22647.06</v>
      </c>
      <c r="E746" s="136">
        <v>22647.06</v>
      </c>
      <c r="F746" s="136">
        <v>22647.06</v>
      </c>
      <c r="G746" s="136">
        <v>22647.06</v>
      </c>
      <c r="H746" s="136">
        <v>22647.06</v>
      </c>
      <c r="I746" s="136">
        <v>22647.06</v>
      </c>
      <c r="J746" s="136">
        <v>22647.06</v>
      </c>
      <c r="K746" s="136">
        <v>22647.06</v>
      </c>
      <c r="L746" s="136">
        <v>22647.06</v>
      </c>
      <c r="M746" s="136">
        <v>22647.06</v>
      </c>
      <c r="N746" s="19">
        <f t="shared" si="143"/>
        <v>271764.72000000003</v>
      </c>
      <c r="P746" s="76"/>
      <c r="Q746" s="69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</row>
    <row r="747" spans="1:34" s="24" customFormat="1" ht="12" customHeight="1">
      <c r="A747" s="3" t="s">
        <v>250</v>
      </c>
      <c r="B747" s="136">
        <v>22647.06</v>
      </c>
      <c r="C747" s="136">
        <v>22647.06</v>
      </c>
      <c r="D747" s="136">
        <v>22647.06</v>
      </c>
      <c r="E747" s="136">
        <v>22647.06</v>
      </c>
      <c r="F747" s="136">
        <v>22647.06</v>
      </c>
      <c r="G747" s="136">
        <v>22647.06</v>
      </c>
      <c r="H747" s="136">
        <v>22647.06</v>
      </c>
      <c r="I747" s="136">
        <v>22647.06</v>
      </c>
      <c r="J747" s="136">
        <v>22647.06</v>
      </c>
      <c r="K747" s="136">
        <v>22647.06</v>
      </c>
      <c r="L747" s="136">
        <v>22647.06</v>
      </c>
      <c r="M747" s="136">
        <v>22647.06</v>
      </c>
      <c r="N747" s="19">
        <f t="shared" si="143"/>
        <v>271764.72000000003</v>
      </c>
      <c r="P747" s="76"/>
      <c r="Q747" s="69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</row>
    <row r="748" spans="1:34" s="24" customFormat="1" ht="12" customHeight="1">
      <c r="A748" s="3" t="s">
        <v>252</v>
      </c>
      <c r="B748" s="136">
        <v>22647.06</v>
      </c>
      <c r="C748" s="136">
        <v>22647.06</v>
      </c>
      <c r="D748" s="136">
        <v>22647.06</v>
      </c>
      <c r="E748" s="136">
        <v>22647.06</v>
      </c>
      <c r="F748" s="136">
        <v>22647.06</v>
      </c>
      <c r="G748" s="136">
        <v>22647.06</v>
      </c>
      <c r="H748" s="136">
        <v>22647.06</v>
      </c>
      <c r="I748" s="136">
        <v>22647.06</v>
      </c>
      <c r="J748" s="136">
        <v>22647.06</v>
      </c>
      <c r="K748" s="136">
        <v>22647.06</v>
      </c>
      <c r="L748" s="136">
        <v>22647.06</v>
      </c>
      <c r="M748" s="136">
        <v>22647.06</v>
      </c>
      <c r="N748" s="19">
        <f t="shared" si="143"/>
        <v>271764.72000000003</v>
      </c>
      <c r="P748" s="76"/>
      <c r="Q748" s="69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</row>
    <row r="749" spans="1:34" s="24" customFormat="1" ht="12" customHeight="1">
      <c r="A749" s="3" t="s">
        <v>314</v>
      </c>
      <c r="B749" s="136">
        <v>22647.06</v>
      </c>
      <c r="C749" s="136">
        <v>22647.06</v>
      </c>
      <c r="D749" s="136">
        <v>22647.06</v>
      </c>
      <c r="E749" s="136">
        <v>22647.06</v>
      </c>
      <c r="F749" s="136">
        <v>22647.06</v>
      </c>
      <c r="G749" s="136">
        <v>22647.06</v>
      </c>
      <c r="H749" s="136">
        <v>22647.06</v>
      </c>
      <c r="I749" s="136">
        <v>22647.06</v>
      </c>
      <c r="J749" s="136">
        <v>22647.06</v>
      </c>
      <c r="K749" s="136">
        <v>22647.06</v>
      </c>
      <c r="L749" s="136">
        <v>22647.06</v>
      </c>
      <c r="M749" s="136">
        <v>22647.06</v>
      </c>
      <c r="N749" s="19">
        <f t="shared" si="143"/>
        <v>271764.72000000003</v>
      </c>
      <c r="P749" s="76"/>
      <c r="Q749" s="69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</row>
    <row r="750" spans="1:34" s="24" customFormat="1" ht="12" customHeight="1">
      <c r="A750" s="3" t="s">
        <v>326</v>
      </c>
      <c r="B750" s="136">
        <v>22647.06</v>
      </c>
      <c r="C750" s="136">
        <v>22647.06</v>
      </c>
      <c r="D750" s="136">
        <v>22647.06</v>
      </c>
      <c r="E750" s="136">
        <v>22647.06</v>
      </c>
      <c r="F750" s="136">
        <v>22647.06</v>
      </c>
      <c r="G750" s="136">
        <v>22647.06</v>
      </c>
      <c r="H750" s="136">
        <v>22647.06</v>
      </c>
      <c r="I750" s="136">
        <v>22647.06</v>
      </c>
      <c r="J750" s="136">
        <v>22647.06</v>
      </c>
      <c r="K750" s="136">
        <v>22647.06</v>
      </c>
      <c r="L750" s="136">
        <v>22647.06</v>
      </c>
      <c r="M750" s="136">
        <v>22647.06</v>
      </c>
      <c r="N750" s="19">
        <f t="shared" si="143"/>
        <v>271764.72000000003</v>
      </c>
      <c r="P750" s="76"/>
      <c r="Q750" s="69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</row>
    <row r="751" spans="1:34" s="24" customFormat="1" ht="12" customHeight="1">
      <c r="A751" s="3" t="s">
        <v>325</v>
      </c>
      <c r="B751" s="136">
        <v>22647.06</v>
      </c>
      <c r="C751" s="136">
        <v>22647.06</v>
      </c>
      <c r="D751" s="136">
        <v>22647.06</v>
      </c>
      <c r="E751" s="136">
        <v>22647.06</v>
      </c>
      <c r="F751" s="136">
        <v>22647.06</v>
      </c>
      <c r="G751" s="136">
        <v>22647.06</v>
      </c>
      <c r="H751" s="136">
        <v>22647.06</v>
      </c>
      <c r="I751" s="136">
        <v>22647.06</v>
      </c>
      <c r="J751" s="136">
        <v>22647.06</v>
      </c>
      <c r="K751" s="136">
        <v>22647.06</v>
      </c>
      <c r="L751" s="136">
        <v>22647.06</v>
      </c>
      <c r="M751" s="136">
        <v>22647.06</v>
      </c>
      <c r="N751" s="19">
        <f t="shared" si="143"/>
        <v>271764.72000000003</v>
      </c>
      <c r="P751" s="76"/>
      <c r="Q751" s="69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</row>
    <row r="752" spans="1:34" s="48" customFormat="1" ht="12.75" customHeight="1">
      <c r="A752" s="3" t="s">
        <v>293</v>
      </c>
      <c r="B752" s="136">
        <v>22647.06</v>
      </c>
      <c r="C752" s="136">
        <v>22647.06</v>
      </c>
      <c r="D752" s="136">
        <v>22647.06</v>
      </c>
      <c r="E752" s="136">
        <v>22647.06</v>
      </c>
      <c r="F752" s="136">
        <v>22647.06</v>
      </c>
      <c r="G752" s="136">
        <v>22647.06</v>
      </c>
      <c r="H752" s="136">
        <v>22647.06</v>
      </c>
      <c r="I752" s="136">
        <v>22647.06</v>
      </c>
      <c r="J752" s="136">
        <v>22647.06</v>
      </c>
      <c r="K752" s="136">
        <v>22647.06</v>
      </c>
      <c r="L752" s="136">
        <v>22647.06</v>
      </c>
      <c r="M752" s="136">
        <v>22647.06</v>
      </c>
      <c r="N752" s="19">
        <f t="shared" si="143"/>
        <v>271764.72000000003</v>
      </c>
      <c r="O752" s="24"/>
      <c r="P752" s="65">
        <f>SUM(B750:I750)</f>
        <v>181176.48</v>
      </c>
      <c r="Q752" s="83"/>
      <c r="R752" s="107"/>
      <c r="S752" s="107">
        <f>SUM(N754:N770)</f>
        <v>4620000.240000001</v>
      </c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</row>
    <row r="753" spans="1:34" s="24" customFormat="1" ht="12.75" hidden="1">
      <c r="A753" s="15" t="s">
        <v>162</v>
      </c>
      <c r="B753" s="136">
        <v>22647.06</v>
      </c>
      <c r="C753" s="136">
        <v>22647.06</v>
      </c>
      <c r="D753" s="136">
        <v>22647.06</v>
      </c>
      <c r="E753" s="136">
        <v>22647.06</v>
      </c>
      <c r="F753" s="136">
        <v>22647.06</v>
      </c>
      <c r="G753" s="136">
        <v>22647.06</v>
      </c>
      <c r="H753" s="136">
        <v>22647.06</v>
      </c>
      <c r="I753" s="136">
        <v>22647.06</v>
      </c>
      <c r="J753" s="136">
        <v>22647.06</v>
      </c>
      <c r="K753" s="136">
        <v>22647.06</v>
      </c>
      <c r="L753" s="136">
        <v>22647.06</v>
      </c>
      <c r="M753" s="136">
        <v>22647.06</v>
      </c>
      <c r="N753" s="20">
        <f t="shared" si="143"/>
        <v>271764.72000000003</v>
      </c>
      <c r="O753" s="48"/>
      <c r="P753" s="76"/>
      <c r="Q753" s="69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</row>
    <row r="754" spans="1:34" s="24" customFormat="1" ht="12" customHeight="1" hidden="1">
      <c r="A754" s="3" t="s">
        <v>236</v>
      </c>
      <c r="B754" s="136">
        <v>22647.06</v>
      </c>
      <c r="C754" s="136">
        <v>22647.06</v>
      </c>
      <c r="D754" s="136">
        <v>22647.06</v>
      </c>
      <c r="E754" s="136">
        <v>22647.06</v>
      </c>
      <c r="F754" s="136">
        <v>22647.06</v>
      </c>
      <c r="G754" s="136">
        <v>22647.06</v>
      </c>
      <c r="H754" s="136">
        <v>22647.06</v>
      </c>
      <c r="I754" s="136">
        <v>22647.06</v>
      </c>
      <c r="J754" s="136">
        <v>22647.06</v>
      </c>
      <c r="K754" s="136">
        <v>22647.06</v>
      </c>
      <c r="L754" s="136">
        <v>22647.06</v>
      </c>
      <c r="M754" s="136">
        <v>22647.06</v>
      </c>
      <c r="N754" s="19">
        <f t="shared" si="143"/>
        <v>271764.72000000003</v>
      </c>
      <c r="P754" s="76"/>
      <c r="Q754" s="69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</row>
    <row r="755" spans="1:34" s="24" customFormat="1" ht="12" customHeight="1" hidden="1">
      <c r="A755" s="3" t="s">
        <v>237</v>
      </c>
      <c r="B755" s="136">
        <v>22647.06</v>
      </c>
      <c r="C755" s="136">
        <v>22647.06</v>
      </c>
      <c r="D755" s="136">
        <v>22647.06</v>
      </c>
      <c r="E755" s="136">
        <v>22647.06</v>
      </c>
      <c r="F755" s="136">
        <v>22647.06</v>
      </c>
      <c r="G755" s="136">
        <v>22647.06</v>
      </c>
      <c r="H755" s="136">
        <v>22647.06</v>
      </c>
      <c r="I755" s="136">
        <v>22647.06</v>
      </c>
      <c r="J755" s="136">
        <v>22647.06</v>
      </c>
      <c r="K755" s="136">
        <v>22647.06</v>
      </c>
      <c r="L755" s="136">
        <v>22647.06</v>
      </c>
      <c r="M755" s="136">
        <v>22647.06</v>
      </c>
      <c r="N755" s="19">
        <f t="shared" si="143"/>
        <v>271764.72000000003</v>
      </c>
      <c r="P755" s="76"/>
      <c r="Q755" s="69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</row>
    <row r="756" spans="1:34" s="24" customFormat="1" ht="12" customHeight="1" hidden="1">
      <c r="A756" s="3" t="s">
        <v>238</v>
      </c>
      <c r="B756" s="136">
        <v>22647.06</v>
      </c>
      <c r="C756" s="136">
        <v>22647.06</v>
      </c>
      <c r="D756" s="136">
        <v>22647.06</v>
      </c>
      <c r="E756" s="136">
        <v>22647.06</v>
      </c>
      <c r="F756" s="136">
        <v>22647.06</v>
      </c>
      <c r="G756" s="136">
        <v>22647.06</v>
      </c>
      <c r="H756" s="136">
        <v>22647.06</v>
      </c>
      <c r="I756" s="136">
        <v>22647.06</v>
      </c>
      <c r="J756" s="136">
        <v>22647.06</v>
      </c>
      <c r="K756" s="136">
        <v>22647.06</v>
      </c>
      <c r="L756" s="136">
        <v>22647.06</v>
      </c>
      <c r="M756" s="136">
        <v>22647.06</v>
      </c>
      <c r="N756" s="19">
        <f t="shared" si="143"/>
        <v>271764.72000000003</v>
      </c>
      <c r="P756" s="76"/>
      <c r="Q756" s="69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</row>
    <row r="757" spans="1:34" s="24" customFormat="1" ht="12" hidden="1">
      <c r="A757" s="3" t="s">
        <v>240</v>
      </c>
      <c r="B757" s="136">
        <v>22647.06</v>
      </c>
      <c r="C757" s="136">
        <v>22647.06</v>
      </c>
      <c r="D757" s="136">
        <v>22647.06</v>
      </c>
      <c r="E757" s="136">
        <v>22647.06</v>
      </c>
      <c r="F757" s="136">
        <v>22647.06</v>
      </c>
      <c r="G757" s="136">
        <v>22647.06</v>
      </c>
      <c r="H757" s="136">
        <v>22647.06</v>
      </c>
      <c r="I757" s="136">
        <v>22647.06</v>
      </c>
      <c r="J757" s="136">
        <v>22647.06</v>
      </c>
      <c r="K757" s="136">
        <v>22647.06</v>
      </c>
      <c r="L757" s="136">
        <v>22647.06</v>
      </c>
      <c r="M757" s="136">
        <v>22647.06</v>
      </c>
      <c r="N757" s="19">
        <f t="shared" si="143"/>
        <v>271764.72000000003</v>
      </c>
      <c r="P757" s="76"/>
      <c r="Q757" s="69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</row>
    <row r="758" spans="1:34" s="24" customFormat="1" ht="12" customHeight="1" hidden="1">
      <c r="A758" s="3" t="s">
        <v>241</v>
      </c>
      <c r="B758" s="136">
        <v>22647.06</v>
      </c>
      <c r="C758" s="136">
        <v>22647.06</v>
      </c>
      <c r="D758" s="136">
        <v>22647.06</v>
      </c>
      <c r="E758" s="136">
        <v>22647.06</v>
      </c>
      <c r="F758" s="136">
        <v>22647.06</v>
      </c>
      <c r="G758" s="136">
        <v>22647.06</v>
      </c>
      <c r="H758" s="136">
        <v>22647.06</v>
      </c>
      <c r="I758" s="136">
        <v>22647.06</v>
      </c>
      <c r="J758" s="136">
        <v>22647.06</v>
      </c>
      <c r="K758" s="136">
        <v>22647.06</v>
      </c>
      <c r="L758" s="136">
        <v>22647.06</v>
      </c>
      <c r="M758" s="136">
        <v>22647.06</v>
      </c>
      <c r="N758" s="19">
        <f t="shared" si="143"/>
        <v>271764.72000000003</v>
      </c>
      <c r="P758" s="76"/>
      <c r="Q758" s="69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</row>
    <row r="759" spans="1:34" s="24" customFormat="1" ht="12" customHeight="1" hidden="1">
      <c r="A759" s="3" t="s">
        <v>243</v>
      </c>
      <c r="B759" s="136">
        <v>22647.06</v>
      </c>
      <c r="C759" s="136">
        <v>22647.06</v>
      </c>
      <c r="D759" s="136">
        <v>22647.06</v>
      </c>
      <c r="E759" s="136">
        <v>22647.06</v>
      </c>
      <c r="F759" s="136">
        <v>22647.06</v>
      </c>
      <c r="G759" s="136">
        <v>22647.06</v>
      </c>
      <c r="H759" s="136">
        <v>22647.06</v>
      </c>
      <c r="I759" s="136">
        <v>22647.06</v>
      </c>
      <c r="J759" s="136">
        <v>22647.06</v>
      </c>
      <c r="K759" s="136">
        <v>22647.06</v>
      </c>
      <c r="L759" s="136">
        <v>22647.06</v>
      </c>
      <c r="M759" s="136">
        <v>22647.06</v>
      </c>
      <c r="N759" s="19">
        <f t="shared" si="143"/>
        <v>271764.72000000003</v>
      </c>
      <c r="P759" s="76"/>
      <c r="Q759" s="69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</row>
    <row r="760" spans="1:34" s="24" customFormat="1" ht="12" customHeight="1" hidden="1">
      <c r="A760" s="3" t="s">
        <v>244</v>
      </c>
      <c r="B760" s="136">
        <v>22647.06</v>
      </c>
      <c r="C760" s="136">
        <v>22647.06</v>
      </c>
      <c r="D760" s="136">
        <v>22647.06</v>
      </c>
      <c r="E760" s="136">
        <v>22647.06</v>
      </c>
      <c r="F760" s="136">
        <v>22647.06</v>
      </c>
      <c r="G760" s="136">
        <v>22647.06</v>
      </c>
      <c r="H760" s="136">
        <v>22647.06</v>
      </c>
      <c r="I760" s="136">
        <v>22647.06</v>
      </c>
      <c r="J760" s="136">
        <v>22647.06</v>
      </c>
      <c r="K760" s="136">
        <v>22647.06</v>
      </c>
      <c r="L760" s="136">
        <v>22647.06</v>
      </c>
      <c r="M760" s="136">
        <v>22647.06</v>
      </c>
      <c r="N760" s="19">
        <f t="shared" si="143"/>
        <v>271764.72000000003</v>
      </c>
      <c r="P760" s="76"/>
      <c r="Q760" s="69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</row>
    <row r="761" spans="1:34" s="24" customFormat="1" ht="12" customHeight="1" hidden="1">
      <c r="A761" s="3" t="s">
        <v>245</v>
      </c>
      <c r="B761" s="136">
        <v>22647.06</v>
      </c>
      <c r="C761" s="136">
        <v>22647.06</v>
      </c>
      <c r="D761" s="136">
        <v>22647.06</v>
      </c>
      <c r="E761" s="136">
        <v>22647.06</v>
      </c>
      <c r="F761" s="136">
        <v>22647.06</v>
      </c>
      <c r="G761" s="136">
        <v>22647.06</v>
      </c>
      <c r="H761" s="136">
        <v>22647.06</v>
      </c>
      <c r="I761" s="136">
        <v>22647.06</v>
      </c>
      <c r="J761" s="136">
        <v>22647.06</v>
      </c>
      <c r="K761" s="136">
        <v>22647.06</v>
      </c>
      <c r="L761" s="136">
        <v>22647.06</v>
      </c>
      <c r="M761" s="136">
        <v>22647.06</v>
      </c>
      <c r="N761" s="19">
        <f t="shared" si="143"/>
        <v>271764.72000000003</v>
      </c>
      <c r="P761" s="76"/>
      <c r="Q761" s="69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</row>
    <row r="762" spans="1:34" s="24" customFormat="1" ht="12" customHeight="1" hidden="1">
      <c r="A762" s="3" t="s">
        <v>246</v>
      </c>
      <c r="B762" s="136">
        <v>22647.06</v>
      </c>
      <c r="C762" s="136">
        <v>22647.06</v>
      </c>
      <c r="D762" s="136">
        <v>22647.06</v>
      </c>
      <c r="E762" s="136">
        <v>22647.06</v>
      </c>
      <c r="F762" s="136">
        <v>22647.06</v>
      </c>
      <c r="G762" s="136">
        <v>22647.06</v>
      </c>
      <c r="H762" s="136">
        <v>22647.06</v>
      </c>
      <c r="I762" s="136">
        <v>22647.06</v>
      </c>
      <c r="J762" s="136">
        <v>22647.06</v>
      </c>
      <c r="K762" s="136">
        <v>22647.06</v>
      </c>
      <c r="L762" s="136">
        <v>22647.06</v>
      </c>
      <c r="M762" s="136">
        <v>22647.06</v>
      </c>
      <c r="N762" s="19">
        <f t="shared" si="143"/>
        <v>271764.72000000003</v>
      </c>
      <c r="P762" s="76"/>
      <c r="Q762" s="69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</row>
    <row r="763" spans="1:34" s="24" customFormat="1" ht="12" customHeight="1" hidden="1">
      <c r="A763" s="3" t="s">
        <v>247</v>
      </c>
      <c r="B763" s="136">
        <v>22647.06</v>
      </c>
      <c r="C763" s="136">
        <v>22647.06</v>
      </c>
      <c r="D763" s="136">
        <v>22647.06</v>
      </c>
      <c r="E763" s="136">
        <v>22647.06</v>
      </c>
      <c r="F763" s="136">
        <v>22647.06</v>
      </c>
      <c r="G763" s="136">
        <v>22647.06</v>
      </c>
      <c r="H763" s="136">
        <v>22647.06</v>
      </c>
      <c r="I763" s="136">
        <v>22647.06</v>
      </c>
      <c r="J763" s="136">
        <v>22647.06</v>
      </c>
      <c r="K763" s="136">
        <v>22647.06</v>
      </c>
      <c r="L763" s="136">
        <v>22647.06</v>
      </c>
      <c r="M763" s="136">
        <v>22647.06</v>
      </c>
      <c r="N763" s="19">
        <f t="shared" si="143"/>
        <v>271764.72000000003</v>
      </c>
      <c r="P763" s="76"/>
      <c r="Q763" s="69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</row>
    <row r="764" spans="1:34" s="24" customFormat="1" ht="12" customHeight="1" hidden="1">
      <c r="A764" s="3" t="s">
        <v>336</v>
      </c>
      <c r="B764" s="136">
        <v>22647.06</v>
      </c>
      <c r="C764" s="136">
        <v>22647.06</v>
      </c>
      <c r="D764" s="136">
        <v>22647.06</v>
      </c>
      <c r="E764" s="136">
        <v>22647.06</v>
      </c>
      <c r="F764" s="136">
        <v>22647.06</v>
      </c>
      <c r="G764" s="136">
        <v>22647.06</v>
      </c>
      <c r="H764" s="136">
        <v>22647.06</v>
      </c>
      <c r="I764" s="136">
        <v>22647.06</v>
      </c>
      <c r="J764" s="136">
        <v>22647.06</v>
      </c>
      <c r="K764" s="136">
        <v>22647.06</v>
      </c>
      <c r="L764" s="136">
        <v>22647.06</v>
      </c>
      <c r="M764" s="136">
        <v>22647.06</v>
      </c>
      <c r="N764" s="19">
        <f aca="true" t="shared" si="145" ref="N764:N797">SUM(B764:M764)</f>
        <v>271764.72000000003</v>
      </c>
      <c r="P764" s="76"/>
      <c r="Q764" s="69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</row>
    <row r="765" spans="1:34" s="24" customFormat="1" ht="12" hidden="1">
      <c r="A765" s="3" t="s">
        <v>249</v>
      </c>
      <c r="B765" s="136">
        <v>22647.06</v>
      </c>
      <c r="C765" s="136">
        <v>22647.06</v>
      </c>
      <c r="D765" s="136">
        <v>22647.06</v>
      </c>
      <c r="E765" s="136">
        <v>22647.06</v>
      </c>
      <c r="F765" s="136">
        <v>22647.06</v>
      </c>
      <c r="G765" s="136">
        <v>22647.06</v>
      </c>
      <c r="H765" s="136">
        <v>22647.06</v>
      </c>
      <c r="I765" s="136">
        <v>22647.06</v>
      </c>
      <c r="J765" s="136">
        <v>22647.06</v>
      </c>
      <c r="K765" s="136">
        <v>22647.06</v>
      </c>
      <c r="L765" s="136">
        <v>22647.06</v>
      </c>
      <c r="M765" s="136">
        <v>22647.06</v>
      </c>
      <c r="N765" s="19">
        <f t="shared" si="145"/>
        <v>271764.72000000003</v>
      </c>
      <c r="P765" s="76"/>
      <c r="Q765" s="69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</row>
    <row r="766" spans="1:34" s="24" customFormat="1" ht="12" customHeight="1" hidden="1">
      <c r="A766" s="3" t="s">
        <v>250</v>
      </c>
      <c r="B766" s="136">
        <v>22647.06</v>
      </c>
      <c r="C766" s="136">
        <v>22647.06</v>
      </c>
      <c r="D766" s="136">
        <v>22647.06</v>
      </c>
      <c r="E766" s="136">
        <v>22647.06</v>
      </c>
      <c r="F766" s="136">
        <v>22647.06</v>
      </c>
      <c r="G766" s="136">
        <v>22647.06</v>
      </c>
      <c r="H766" s="136">
        <v>22647.06</v>
      </c>
      <c r="I766" s="136">
        <v>22647.06</v>
      </c>
      <c r="J766" s="136">
        <v>22647.06</v>
      </c>
      <c r="K766" s="136">
        <v>22647.06</v>
      </c>
      <c r="L766" s="136">
        <v>22647.06</v>
      </c>
      <c r="M766" s="136">
        <v>22647.06</v>
      </c>
      <c r="N766" s="19">
        <f t="shared" si="145"/>
        <v>271764.72000000003</v>
      </c>
      <c r="P766" s="76"/>
      <c r="Q766" s="69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</row>
    <row r="767" spans="1:34" s="24" customFormat="1" ht="12" customHeight="1" hidden="1">
      <c r="A767" s="3" t="s">
        <v>252</v>
      </c>
      <c r="B767" s="136">
        <v>22647.06</v>
      </c>
      <c r="C767" s="136">
        <v>22647.06</v>
      </c>
      <c r="D767" s="136">
        <v>22647.06</v>
      </c>
      <c r="E767" s="136">
        <v>22647.06</v>
      </c>
      <c r="F767" s="136">
        <v>22647.06</v>
      </c>
      <c r="G767" s="136">
        <v>22647.06</v>
      </c>
      <c r="H767" s="136">
        <v>22647.06</v>
      </c>
      <c r="I767" s="136">
        <v>22647.06</v>
      </c>
      <c r="J767" s="136">
        <v>22647.06</v>
      </c>
      <c r="K767" s="136">
        <v>22647.06</v>
      </c>
      <c r="L767" s="136">
        <v>22647.06</v>
      </c>
      <c r="M767" s="136">
        <v>22647.06</v>
      </c>
      <c r="N767" s="19">
        <f t="shared" si="145"/>
        <v>271764.72000000003</v>
      </c>
      <c r="P767" s="76"/>
      <c r="Q767" s="69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</row>
    <row r="768" spans="1:34" s="24" customFormat="1" ht="12" customHeight="1" hidden="1">
      <c r="A768" s="3" t="s">
        <v>314</v>
      </c>
      <c r="B768" s="136">
        <v>22647.06</v>
      </c>
      <c r="C768" s="136">
        <v>22647.06</v>
      </c>
      <c r="D768" s="136">
        <v>22647.06</v>
      </c>
      <c r="E768" s="136">
        <v>22647.06</v>
      </c>
      <c r="F768" s="136">
        <v>22647.06</v>
      </c>
      <c r="G768" s="136">
        <v>22647.06</v>
      </c>
      <c r="H768" s="136">
        <v>22647.06</v>
      </c>
      <c r="I768" s="136">
        <v>22647.06</v>
      </c>
      <c r="J768" s="136">
        <v>22647.06</v>
      </c>
      <c r="K768" s="136">
        <v>22647.06</v>
      </c>
      <c r="L768" s="136">
        <v>22647.06</v>
      </c>
      <c r="M768" s="136">
        <v>22647.06</v>
      </c>
      <c r="N768" s="19">
        <f t="shared" si="145"/>
        <v>271764.72000000003</v>
      </c>
      <c r="P768" s="76"/>
      <c r="Q768" s="69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</row>
    <row r="769" spans="1:34" s="24" customFormat="1" ht="12" customHeight="1" hidden="1">
      <c r="A769" s="3" t="s">
        <v>326</v>
      </c>
      <c r="B769" s="136">
        <v>22647.06</v>
      </c>
      <c r="C769" s="136">
        <v>22647.06</v>
      </c>
      <c r="D769" s="136">
        <v>22647.06</v>
      </c>
      <c r="E769" s="136">
        <v>22647.06</v>
      </c>
      <c r="F769" s="136">
        <v>22647.06</v>
      </c>
      <c r="G769" s="136">
        <v>22647.06</v>
      </c>
      <c r="H769" s="136">
        <v>22647.06</v>
      </c>
      <c r="I769" s="136">
        <v>22647.06</v>
      </c>
      <c r="J769" s="136">
        <v>22647.06</v>
      </c>
      <c r="K769" s="136">
        <v>22647.06</v>
      </c>
      <c r="L769" s="136">
        <v>22647.06</v>
      </c>
      <c r="M769" s="136">
        <v>22647.06</v>
      </c>
      <c r="N769" s="19">
        <f t="shared" si="145"/>
        <v>271764.72000000003</v>
      </c>
      <c r="P769" s="76"/>
      <c r="Q769" s="69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</row>
    <row r="770" spans="1:34" s="28" customFormat="1" ht="12" customHeight="1">
      <c r="A770" s="3" t="s">
        <v>325</v>
      </c>
      <c r="B770" s="136">
        <v>22647.06</v>
      </c>
      <c r="C770" s="136">
        <v>22647.06</v>
      </c>
      <c r="D770" s="136">
        <v>22647.06</v>
      </c>
      <c r="E770" s="136">
        <v>22647.06</v>
      </c>
      <c r="F770" s="136">
        <v>22647.06</v>
      </c>
      <c r="G770" s="136">
        <v>22647.06</v>
      </c>
      <c r="H770" s="136">
        <v>22647.06</v>
      </c>
      <c r="I770" s="136">
        <v>22647.06</v>
      </c>
      <c r="J770" s="136">
        <v>22647.06</v>
      </c>
      <c r="K770" s="136">
        <v>22647.06</v>
      </c>
      <c r="L770" s="136">
        <v>22647.06</v>
      </c>
      <c r="M770" s="136">
        <v>22647.06</v>
      </c>
      <c r="N770" s="19">
        <f t="shared" si="145"/>
        <v>271764.72000000003</v>
      </c>
      <c r="O770" s="24"/>
      <c r="P770" s="65"/>
      <c r="Q770" s="68"/>
      <c r="R770" s="117"/>
      <c r="S770" s="117">
        <f>SUM(N772:N793)</f>
        <v>300000</v>
      </c>
      <c r="T770" s="117"/>
      <c r="U770" s="117"/>
      <c r="V770" s="117"/>
      <c r="W770" s="117"/>
      <c r="X770" s="117"/>
      <c r="Y770" s="117"/>
      <c r="Z770" s="117"/>
      <c r="AA770" s="117"/>
      <c r="AB770" s="117"/>
      <c r="AC770" s="117"/>
      <c r="AD770" s="117"/>
      <c r="AE770" s="117"/>
      <c r="AF770" s="117"/>
      <c r="AG770" s="117"/>
      <c r="AH770" s="117"/>
    </row>
    <row r="771" spans="1:34" s="24" customFormat="1" ht="12">
      <c r="A771" s="15" t="s">
        <v>172</v>
      </c>
      <c r="B771" s="137">
        <f>SUM(B772:B793)</f>
        <v>25000</v>
      </c>
      <c r="C771" s="137">
        <f aca="true" t="shared" si="146" ref="C771:M771">SUM(C772:C793)</f>
        <v>25000</v>
      </c>
      <c r="D771" s="137">
        <f t="shared" si="146"/>
        <v>25000</v>
      </c>
      <c r="E771" s="137">
        <f t="shared" si="146"/>
        <v>25000</v>
      </c>
      <c r="F771" s="137">
        <f t="shared" si="146"/>
        <v>25000</v>
      </c>
      <c r="G771" s="137">
        <f t="shared" si="146"/>
        <v>25000</v>
      </c>
      <c r="H771" s="137">
        <f t="shared" si="146"/>
        <v>25000</v>
      </c>
      <c r="I771" s="137">
        <f t="shared" si="146"/>
        <v>25000</v>
      </c>
      <c r="J771" s="137">
        <f t="shared" si="146"/>
        <v>25000</v>
      </c>
      <c r="K771" s="137">
        <f t="shared" si="146"/>
        <v>25000</v>
      </c>
      <c r="L771" s="137">
        <f t="shared" si="146"/>
        <v>25000</v>
      </c>
      <c r="M771" s="137">
        <f t="shared" si="146"/>
        <v>25000</v>
      </c>
      <c r="N771" s="137">
        <f t="shared" si="145"/>
        <v>300000</v>
      </c>
      <c r="O771" s="28"/>
      <c r="P771" s="76"/>
      <c r="Q771" s="69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</row>
    <row r="772" spans="1:34" s="24" customFormat="1" ht="12" customHeight="1">
      <c r="A772" s="3" t="s">
        <v>236</v>
      </c>
      <c r="B772" s="306">
        <v>25000</v>
      </c>
      <c r="C772" s="306">
        <v>25000</v>
      </c>
      <c r="D772" s="306">
        <v>25000</v>
      </c>
      <c r="E772" s="306">
        <v>25000</v>
      </c>
      <c r="F772" s="306">
        <v>25000</v>
      </c>
      <c r="G772" s="306">
        <v>25000</v>
      </c>
      <c r="H772" s="306">
        <v>25000</v>
      </c>
      <c r="I772" s="306">
        <v>25000</v>
      </c>
      <c r="J772" s="306">
        <v>25000</v>
      </c>
      <c r="K772" s="306">
        <v>25000</v>
      </c>
      <c r="L772" s="306">
        <v>25000</v>
      </c>
      <c r="M772" s="306">
        <v>25000</v>
      </c>
      <c r="N772" s="136">
        <f t="shared" si="145"/>
        <v>300000</v>
      </c>
      <c r="P772" s="76"/>
      <c r="Q772" s="69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</row>
    <row r="773" spans="1:34" s="24" customFormat="1" ht="12" customHeight="1">
      <c r="A773" s="3" t="s">
        <v>237</v>
      </c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>
        <f t="shared" si="145"/>
        <v>0</v>
      </c>
      <c r="P773" s="76"/>
      <c r="Q773" s="69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</row>
    <row r="774" spans="1:34" s="24" customFormat="1" ht="12" customHeight="1">
      <c r="A774" s="3" t="s">
        <v>238</v>
      </c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>
        <f t="shared" si="145"/>
        <v>0</v>
      </c>
      <c r="P774" s="76"/>
      <c r="Q774" s="69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</row>
    <row r="775" spans="1:34" s="24" customFormat="1" ht="12" customHeight="1">
      <c r="A775" s="3" t="s">
        <v>549</v>
      </c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>
        <f t="shared" si="145"/>
        <v>0</v>
      </c>
      <c r="P775" s="76"/>
      <c r="Q775" s="69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</row>
    <row r="776" spans="1:34" s="24" customFormat="1" ht="12" customHeight="1">
      <c r="A776" s="3" t="s">
        <v>875</v>
      </c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>
        <f t="shared" si="145"/>
        <v>0</v>
      </c>
      <c r="P776" s="76"/>
      <c r="Q776" s="69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</row>
    <row r="777" spans="1:34" s="24" customFormat="1" ht="12" customHeight="1">
      <c r="A777" s="3" t="s">
        <v>617</v>
      </c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>
        <f t="shared" si="145"/>
        <v>0</v>
      </c>
      <c r="P777" s="76"/>
      <c r="Q777" s="69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</row>
    <row r="778" spans="1:34" s="24" customFormat="1" ht="12" customHeight="1">
      <c r="A778" s="15" t="s">
        <v>548</v>
      </c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>
        <f t="shared" si="145"/>
        <v>0</v>
      </c>
      <c r="P778" s="76"/>
      <c r="Q778" s="69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</row>
    <row r="779" spans="1:34" s="24" customFormat="1" ht="12">
      <c r="A779" s="3" t="s">
        <v>240</v>
      </c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9">
        <f t="shared" si="145"/>
        <v>0</v>
      </c>
      <c r="P779" s="76"/>
      <c r="Q779" s="69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</row>
    <row r="780" spans="1:34" s="24" customFormat="1" ht="12" customHeight="1">
      <c r="A780" s="3" t="s">
        <v>241</v>
      </c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9">
        <f t="shared" si="145"/>
        <v>0</v>
      </c>
      <c r="P780" s="76"/>
      <c r="Q780" s="69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</row>
    <row r="781" spans="1:34" s="24" customFormat="1" ht="12" customHeight="1">
      <c r="A781" s="3" t="s">
        <v>243</v>
      </c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9">
        <f t="shared" si="145"/>
        <v>0</v>
      </c>
      <c r="P781" s="76"/>
      <c r="Q781" s="69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</row>
    <row r="782" spans="1:34" s="24" customFormat="1" ht="12" customHeight="1">
      <c r="A782" s="3" t="s">
        <v>244</v>
      </c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9">
        <f t="shared" si="145"/>
        <v>0</v>
      </c>
      <c r="P782" s="76"/>
      <c r="Q782" s="69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</row>
    <row r="783" spans="1:34" s="24" customFormat="1" ht="12" customHeight="1">
      <c r="A783" s="3" t="s">
        <v>245</v>
      </c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9">
        <f t="shared" si="145"/>
        <v>0</v>
      </c>
      <c r="P783" s="76"/>
      <c r="Q783" s="69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</row>
    <row r="784" spans="1:34" s="24" customFormat="1" ht="12" customHeight="1">
      <c r="A784" s="3" t="s">
        <v>246</v>
      </c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9">
        <f t="shared" si="145"/>
        <v>0</v>
      </c>
      <c r="P784" s="76"/>
      <c r="Q784" s="69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</row>
    <row r="785" spans="1:34" s="24" customFormat="1" ht="12" customHeight="1">
      <c r="A785" s="3" t="s">
        <v>247</v>
      </c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9">
        <f t="shared" si="145"/>
        <v>0</v>
      </c>
      <c r="P785" s="76"/>
      <c r="Q785" s="69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</row>
    <row r="786" spans="1:34" s="24" customFormat="1" ht="12" customHeight="1">
      <c r="A786" s="3" t="s">
        <v>336</v>
      </c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9">
        <f t="shared" si="145"/>
        <v>0</v>
      </c>
      <c r="P786" s="76"/>
      <c r="Q786" s="69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</row>
    <row r="787" spans="1:34" s="24" customFormat="1" ht="12">
      <c r="A787" s="3" t="s">
        <v>249</v>
      </c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9">
        <f t="shared" si="145"/>
        <v>0</v>
      </c>
      <c r="P787" s="76"/>
      <c r="Q787" s="69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</row>
    <row r="788" spans="1:34" s="24" customFormat="1" ht="12" customHeight="1">
      <c r="A788" s="3" t="s">
        <v>250</v>
      </c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9">
        <f t="shared" si="145"/>
        <v>0</v>
      </c>
      <c r="P788" s="76"/>
      <c r="Q788" s="69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</row>
    <row r="789" spans="1:34" s="24" customFormat="1" ht="12" customHeight="1">
      <c r="A789" s="3" t="s">
        <v>252</v>
      </c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9">
        <f t="shared" si="145"/>
        <v>0</v>
      </c>
      <c r="P789" s="76"/>
      <c r="Q789" s="69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</row>
    <row r="790" spans="1:34" s="24" customFormat="1" ht="12" customHeight="1">
      <c r="A790" s="3" t="s">
        <v>314</v>
      </c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9">
        <f t="shared" si="145"/>
        <v>0</v>
      </c>
      <c r="P790" s="76"/>
      <c r="Q790" s="69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</row>
    <row r="791" spans="1:34" s="24" customFormat="1" ht="12" customHeight="1">
      <c r="A791" s="3" t="s">
        <v>326</v>
      </c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9">
        <f t="shared" si="145"/>
        <v>0</v>
      </c>
      <c r="P791" s="76"/>
      <c r="Q791" s="69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</row>
    <row r="792" spans="1:34" s="24" customFormat="1" ht="12" customHeight="1">
      <c r="A792" s="3" t="s">
        <v>866</v>
      </c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9">
        <f t="shared" si="145"/>
        <v>0</v>
      </c>
      <c r="P792" s="76"/>
      <c r="Q792" s="69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</row>
    <row r="793" spans="1:34" s="28" customFormat="1" ht="12" customHeight="1">
      <c r="A793" s="3" t="s">
        <v>325</v>
      </c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9">
        <f t="shared" si="145"/>
        <v>0</v>
      </c>
      <c r="O793" s="24"/>
      <c r="P793" s="65">
        <f>SUM(B790:I790)</f>
        <v>0</v>
      </c>
      <c r="Q793" s="68"/>
      <c r="R793" s="117"/>
      <c r="S793" s="117">
        <f>SUM(N795:N821)</f>
        <v>235000</v>
      </c>
      <c r="T793" s="117"/>
      <c r="U793" s="117"/>
      <c r="V793" s="117"/>
      <c r="W793" s="117"/>
      <c r="X793" s="117"/>
      <c r="Y793" s="117"/>
      <c r="Z793" s="117"/>
      <c r="AA793" s="117"/>
      <c r="AB793" s="117"/>
      <c r="AC793" s="117"/>
      <c r="AD793" s="117"/>
      <c r="AE793" s="117"/>
      <c r="AF793" s="117"/>
      <c r="AG793" s="117"/>
      <c r="AH793" s="117"/>
    </row>
    <row r="794" spans="1:34" s="24" customFormat="1" ht="12">
      <c r="A794" s="15" t="s">
        <v>295</v>
      </c>
      <c r="B794" s="137">
        <f>SUM(B795:B831)</f>
        <v>51666.67</v>
      </c>
      <c r="C794" s="137">
        <f aca="true" t="shared" si="147" ref="C794:M794">SUM(C795:C831)</f>
        <v>91666.67</v>
      </c>
      <c r="D794" s="137">
        <f t="shared" si="147"/>
        <v>51666.67</v>
      </c>
      <c r="E794" s="137">
        <f t="shared" si="147"/>
        <v>15000</v>
      </c>
      <c r="F794" s="137">
        <f t="shared" si="147"/>
        <v>30000</v>
      </c>
      <c r="G794" s="137">
        <f>SUM(G795:G831)</f>
        <v>45000</v>
      </c>
      <c r="H794" s="137">
        <f t="shared" si="147"/>
        <v>15000</v>
      </c>
      <c r="I794" s="137">
        <f t="shared" si="147"/>
        <v>15000</v>
      </c>
      <c r="J794" s="137">
        <f t="shared" si="147"/>
        <v>15000</v>
      </c>
      <c r="K794" s="137">
        <f t="shared" si="147"/>
        <v>15000</v>
      </c>
      <c r="L794" s="137">
        <f t="shared" si="147"/>
        <v>15000</v>
      </c>
      <c r="M794" s="137">
        <f t="shared" si="147"/>
        <v>15000</v>
      </c>
      <c r="N794" s="20">
        <f t="shared" si="145"/>
        <v>375000.01</v>
      </c>
      <c r="O794" s="28"/>
      <c r="P794" s="76"/>
      <c r="Q794" s="69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</row>
    <row r="795" spans="1:34" s="24" customFormat="1" ht="12">
      <c r="A795" s="3" t="s">
        <v>236</v>
      </c>
      <c r="B795" s="136">
        <v>15000</v>
      </c>
      <c r="C795" s="136">
        <v>15000</v>
      </c>
      <c r="D795" s="136">
        <v>15000</v>
      </c>
      <c r="E795" s="136">
        <v>15000</v>
      </c>
      <c r="F795" s="136">
        <v>15000</v>
      </c>
      <c r="G795" s="136">
        <v>15000</v>
      </c>
      <c r="H795" s="136">
        <v>15000</v>
      </c>
      <c r="I795" s="136">
        <v>15000</v>
      </c>
      <c r="J795" s="136">
        <v>15000</v>
      </c>
      <c r="K795" s="136">
        <v>15000</v>
      </c>
      <c r="L795" s="136">
        <v>15000</v>
      </c>
      <c r="M795" s="136">
        <v>15000</v>
      </c>
      <c r="N795" s="19">
        <f t="shared" si="145"/>
        <v>180000</v>
      </c>
      <c r="P795" s="76"/>
      <c r="Q795" s="69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</row>
    <row r="796" spans="1:34" s="24" customFormat="1" ht="12" customHeight="1">
      <c r="A796" s="3" t="s">
        <v>809</v>
      </c>
      <c r="B796" s="136"/>
      <c r="C796" s="136">
        <f>20000*2</f>
        <v>40000</v>
      </c>
      <c r="D796" s="136"/>
      <c r="E796" s="136"/>
      <c r="F796" s="136">
        <v>15000</v>
      </c>
      <c r="G796" s="136"/>
      <c r="H796" s="136"/>
      <c r="I796" s="136"/>
      <c r="J796" s="136"/>
      <c r="K796" s="136"/>
      <c r="L796" s="136"/>
      <c r="M796" s="136"/>
      <c r="N796" s="19">
        <f t="shared" si="145"/>
        <v>55000</v>
      </c>
      <c r="P796" s="76"/>
      <c r="Q796" s="69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</row>
    <row r="797" spans="1:34" s="24" customFormat="1" ht="12" customHeight="1" hidden="1">
      <c r="A797" s="3" t="s">
        <v>237</v>
      </c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9">
        <f t="shared" si="145"/>
        <v>0</v>
      </c>
      <c r="P797" s="76"/>
      <c r="Q797" s="69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</row>
    <row r="798" spans="1:34" s="24" customFormat="1" ht="12" customHeight="1" hidden="1">
      <c r="A798" s="3" t="s">
        <v>238</v>
      </c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9">
        <f aca="true" t="shared" si="148" ref="N798:N828">SUM(B798:M798)</f>
        <v>0</v>
      </c>
      <c r="P798" s="76"/>
      <c r="Q798" s="69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</row>
    <row r="799" spans="1:34" s="24" customFormat="1" ht="12" customHeight="1" hidden="1">
      <c r="A799" s="3" t="s">
        <v>239</v>
      </c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9">
        <f t="shared" si="148"/>
        <v>0</v>
      </c>
      <c r="P799" s="76"/>
      <c r="Q799" s="69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</row>
    <row r="800" spans="1:34" s="24" customFormat="1" ht="12" hidden="1">
      <c r="A800" s="3" t="s">
        <v>240</v>
      </c>
      <c r="B800" s="136"/>
      <c r="C800" s="136"/>
      <c r="D800" s="179"/>
      <c r="E800" s="136"/>
      <c r="F800" s="136"/>
      <c r="G800" s="136"/>
      <c r="H800" s="136"/>
      <c r="I800" s="136"/>
      <c r="J800" s="136"/>
      <c r="K800" s="136"/>
      <c r="L800" s="136"/>
      <c r="M800" s="136"/>
      <c r="N800" s="19">
        <f t="shared" si="148"/>
        <v>0</v>
      </c>
      <c r="P800" s="76"/>
      <c r="Q800" s="69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</row>
    <row r="801" spans="1:34" s="24" customFormat="1" ht="12" hidden="1">
      <c r="A801" s="3" t="s">
        <v>241</v>
      </c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9">
        <f t="shared" si="148"/>
        <v>0</v>
      </c>
      <c r="P801" s="76"/>
      <c r="Q801" s="69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</row>
    <row r="802" spans="1:34" s="24" customFormat="1" ht="12" hidden="1">
      <c r="A802" s="3" t="s">
        <v>605</v>
      </c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9">
        <f t="shared" si="148"/>
        <v>0</v>
      </c>
      <c r="P802" s="76"/>
      <c r="Q802" s="69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</row>
    <row r="803" spans="1:34" s="24" customFormat="1" ht="12" customHeight="1" hidden="1">
      <c r="A803" s="3" t="s">
        <v>606</v>
      </c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9">
        <f t="shared" si="148"/>
        <v>0</v>
      </c>
      <c r="P803" s="76"/>
      <c r="Q803" s="69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</row>
    <row r="804" spans="1:34" s="24" customFormat="1" ht="12" customHeight="1" hidden="1">
      <c r="A804" s="3" t="s">
        <v>242</v>
      </c>
      <c r="B804" s="136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9">
        <f t="shared" si="148"/>
        <v>0</v>
      </c>
      <c r="P804" s="76"/>
      <c r="Q804" s="69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</row>
    <row r="805" spans="1:34" s="24" customFormat="1" ht="12" customHeight="1" hidden="1">
      <c r="A805" s="3" t="s">
        <v>243</v>
      </c>
      <c r="B805" s="136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9">
        <f t="shared" si="148"/>
        <v>0</v>
      </c>
      <c r="P805" s="76"/>
      <c r="Q805" s="69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</row>
    <row r="806" spans="1:34" s="24" customFormat="1" ht="12" customHeight="1" hidden="1">
      <c r="A806" s="3" t="s">
        <v>244</v>
      </c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9">
        <f t="shared" si="148"/>
        <v>0</v>
      </c>
      <c r="P806" s="76"/>
      <c r="Q806" s="69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</row>
    <row r="807" spans="1:34" s="24" customFormat="1" ht="12" customHeight="1" hidden="1">
      <c r="A807" s="3" t="s">
        <v>553</v>
      </c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9">
        <f t="shared" si="148"/>
        <v>0</v>
      </c>
      <c r="P807" s="76"/>
      <c r="Q807" s="69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</row>
    <row r="808" spans="1:34" s="24" customFormat="1" ht="12" customHeight="1" hidden="1">
      <c r="A808" s="3" t="s">
        <v>554</v>
      </c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9">
        <f t="shared" si="148"/>
        <v>0</v>
      </c>
      <c r="P808" s="76"/>
      <c r="Q808" s="69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</row>
    <row r="809" spans="1:34" s="24" customFormat="1" ht="12" customHeight="1" hidden="1">
      <c r="A809" s="3" t="s">
        <v>245</v>
      </c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9">
        <f t="shared" si="148"/>
        <v>0</v>
      </c>
      <c r="P809" s="76"/>
      <c r="Q809" s="69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</row>
    <row r="810" spans="1:34" s="24" customFormat="1" ht="12" customHeight="1" hidden="1">
      <c r="A810" s="3" t="s">
        <v>246</v>
      </c>
      <c r="B810" s="136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9">
        <f t="shared" si="148"/>
        <v>0</v>
      </c>
      <c r="P810" s="76"/>
      <c r="Q810" s="69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</row>
    <row r="811" spans="1:34" s="24" customFormat="1" ht="12" customHeight="1" hidden="1">
      <c r="A811" s="3" t="s">
        <v>247</v>
      </c>
      <c r="B811" s="136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9">
        <f t="shared" si="148"/>
        <v>0</v>
      </c>
      <c r="P811" s="76"/>
      <c r="Q811" s="69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</row>
    <row r="812" spans="1:34" s="24" customFormat="1" ht="12" customHeight="1" hidden="1">
      <c r="A812" s="3" t="s">
        <v>248</v>
      </c>
      <c r="B812" s="136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9">
        <f t="shared" si="148"/>
        <v>0</v>
      </c>
      <c r="P812" s="76"/>
      <c r="Q812" s="69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</row>
    <row r="813" spans="1:34" s="24" customFormat="1" ht="25.5" customHeight="1" hidden="1">
      <c r="A813" s="3" t="s">
        <v>337</v>
      </c>
      <c r="B813" s="136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9">
        <f t="shared" si="148"/>
        <v>0</v>
      </c>
      <c r="P813" s="76"/>
      <c r="Q813" s="69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</row>
    <row r="814" spans="1:34" s="24" customFormat="1" ht="25.5" customHeight="1" hidden="1">
      <c r="A814" s="176" t="s">
        <v>609</v>
      </c>
      <c r="B814" s="136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9">
        <f t="shared" si="148"/>
        <v>0</v>
      </c>
      <c r="P814" s="76"/>
      <c r="Q814" s="69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</row>
    <row r="815" spans="1:34" s="24" customFormat="1" ht="12" customHeight="1" hidden="1">
      <c r="A815" s="176" t="s">
        <v>610</v>
      </c>
      <c r="B815" s="136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9">
        <f t="shared" si="148"/>
        <v>0</v>
      </c>
      <c r="P815" s="76"/>
      <c r="Q815" s="69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</row>
    <row r="816" spans="1:34" s="24" customFormat="1" ht="12" hidden="1">
      <c r="A816" s="3" t="s">
        <v>249</v>
      </c>
      <c r="B816" s="136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9">
        <f t="shared" si="148"/>
        <v>0</v>
      </c>
      <c r="P816" s="76"/>
      <c r="Q816" s="69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</row>
    <row r="817" spans="1:34" s="24" customFormat="1" ht="12" customHeight="1" hidden="1">
      <c r="A817" s="3" t="s">
        <v>250</v>
      </c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9">
        <f t="shared" si="148"/>
        <v>0</v>
      </c>
      <c r="P817" s="76"/>
      <c r="Q817" s="69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</row>
    <row r="818" spans="1:34" s="24" customFormat="1" ht="12" customHeight="1" hidden="1">
      <c r="A818" s="3" t="s">
        <v>251</v>
      </c>
      <c r="B818" s="136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9">
        <f t="shared" si="148"/>
        <v>0</v>
      </c>
      <c r="P818" s="76"/>
      <c r="Q818" s="69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</row>
    <row r="819" spans="1:34" s="24" customFormat="1" ht="12" customHeight="1" hidden="1">
      <c r="A819" s="3" t="s">
        <v>252</v>
      </c>
      <c r="B819" s="136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9">
        <f t="shared" si="148"/>
        <v>0</v>
      </c>
      <c r="P819" s="76"/>
      <c r="Q819" s="69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</row>
    <row r="820" spans="1:34" s="24" customFormat="1" ht="12" customHeight="1" hidden="1">
      <c r="A820" s="3" t="s">
        <v>314</v>
      </c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9">
        <f t="shared" si="148"/>
        <v>0</v>
      </c>
      <c r="P820" s="76"/>
      <c r="Q820" s="69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</row>
    <row r="821" spans="1:34" s="24" customFormat="1" ht="12" customHeight="1" hidden="1">
      <c r="A821" s="3" t="s">
        <v>326</v>
      </c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9">
        <f t="shared" si="148"/>
        <v>0</v>
      </c>
      <c r="P821" s="76"/>
      <c r="Q821" s="69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</row>
    <row r="822" spans="1:34" s="364" customFormat="1" ht="12" customHeight="1">
      <c r="A822" s="3" t="s">
        <v>967</v>
      </c>
      <c r="B822" s="136"/>
      <c r="C822" s="136"/>
      <c r="D822" s="136"/>
      <c r="E822" s="136"/>
      <c r="F822" s="136"/>
      <c r="G822" s="136">
        <v>30000</v>
      </c>
      <c r="H822" s="136"/>
      <c r="I822" s="136"/>
      <c r="J822" s="136"/>
      <c r="K822" s="136"/>
      <c r="L822" s="136"/>
      <c r="M822" s="136"/>
      <c r="N822" s="19">
        <f t="shared" si="148"/>
        <v>30000</v>
      </c>
      <c r="O822" s="24"/>
      <c r="P822" s="365"/>
      <c r="Q822" s="366"/>
      <c r="R822" s="367"/>
      <c r="S822" s="367"/>
      <c r="T822" s="367"/>
      <c r="U822" s="367"/>
      <c r="V822" s="367"/>
      <c r="W822" s="367"/>
      <c r="X822" s="367"/>
      <c r="Y822" s="367"/>
      <c r="Z822" s="367"/>
      <c r="AA822" s="367"/>
      <c r="AB822" s="367"/>
      <c r="AC822" s="367"/>
      <c r="AD822" s="367"/>
      <c r="AE822" s="367"/>
      <c r="AF822" s="367"/>
      <c r="AG822" s="367"/>
      <c r="AH822" s="367"/>
    </row>
    <row r="823" spans="1:34" s="364" customFormat="1" ht="12" customHeight="1" hidden="1">
      <c r="A823" s="152" t="s">
        <v>544</v>
      </c>
      <c r="B823" s="362"/>
      <c r="C823" s="362"/>
      <c r="D823" s="362"/>
      <c r="E823" s="362"/>
      <c r="F823" s="362"/>
      <c r="G823" s="362"/>
      <c r="H823" s="362"/>
      <c r="I823" s="362"/>
      <c r="J823" s="362"/>
      <c r="K823" s="362"/>
      <c r="L823" s="362"/>
      <c r="M823" s="362"/>
      <c r="N823" s="19">
        <f t="shared" si="148"/>
        <v>0</v>
      </c>
      <c r="P823" s="365"/>
      <c r="Q823" s="366"/>
      <c r="R823" s="367"/>
      <c r="S823" s="367"/>
      <c r="T823" s="367"/>
      <c r="U823" s="367"/>
      <c r="V823" s="367"/>
      <c r="W823" s="367"/>
      <c r="X823" s="367"/>
      <c r="Y823" s="367"/>
      <c r="Z823" s="367"/>
      <c r="AA823" s="367"/>
      <c r="AB823" s="367"/>
      <c r="AC823" s="367"/>
      <c r="AD823" s="367"/>
      <c r="AE823" s="367"/>
      <c r="AF823" s="367"/>
      <c r="AG823" s="367"/>
      <c r="AH823" s="367"/>
    </row>
    <row r="824" spans="1:34" s="73" customFormat="1" ht="12" customHeight="1" hidden="1">
      <c r="A824" s="152" t="s">
        <v>513</v>
      </c>
      <c r="B824" s="362"/>
      <c r="C824" s="362"/>
      <c r="D824" s="362"/>
      <c r="E824" s="362"/>
      <c r="F824" s="362"/>
      <c r="G824" s="362"/>
      <c r="H824" s="362"/>
      <c r="I824" s="362"/>
      <c r="J824" s="362"/>
      <c r="K824" s="362"/>
      <c r="L824" s="362"/>
      <c r="M824" s="362"/>
      <c r="N824" s="363">
        <f t="shared" si="148"/>
        <v>0</v>
      </c>
      <c r="O824" s="364"/>
      <c r="P824" s="124"/>
      <c r="Q824" s="299"/>
      <c r="R824" s="300"/>
      <c r="S824" s="300"/>
      <c r="T824" s="300"/>
      <c r="U824" s="300"/>
      <c r="V824" s="300"/>
      <c r="W824" s="300"/>
      <c r="X824" s="300"/>
      <c r="Y824" s="300"/>
      <c r="Z824" s="300"/>
      <c r="AA824" s="300"/>
      <c r="AB824" s="300"/>
      <c r="AC824" s="300"/>
      <c r="AD824" s="300"/>
      <c r="AE824" s="300"/>
      <c r="AF824" s="300"/>
      <c r="AG824" s="300"/>
      <c r="AH824" s="300"/>
    </row>
    <row r="825" spans="1:34" s="73" customFormat="1" ht="12" customHeight="1" hidden="1">
      <c r="A825" s="26" t="s">
        <v>514</v>
      </c>
      <c r="B825" s="158"/>
      <c r="C825" s="158"/>
      <c r="D825" s="158"/>
      <c r="E825" s="158"/>
      <c r="F825" s="158"/>
      <c r="G825" s="158"/>
      <c r="H825" s="158"/>
      <c r="I825" s="158"/>
      <c r="J825" s="158"/>
      <c r="K825" s="158"/>
      <c r="L825" s="158"/>
      <c r="M825" s="158"/>
      <c r="N825" s="368">
        <f t="shared" si="148"/>
        <v>0</v>
      </c>
      <c r="P825" s="124"/>
      <c r="Q825" s="299"/>
      <c r="R825" s="300"/>
      <c r="S825" s="300"/>
      <c r="T825" s="300"/>
      <c r="U825" s="300"/>
      <c r="V825" s="300"/>
      <c r="W825" s="300"/>
      <c r="X825" s="300"/>
      <c r="Y825" s="300"/>
      <c r="Z825" s="300"/>
      <c r="AA825" s="300"/>
      <c r="AB825" s="300"/>
      <c r="AC825" s="300"/>
      <c r="AD825" s="300"/>
      <c r="AE825" s="300"/>
      <c r="AF825" s="300"/>
      <c r="AG825" s="300"/>
      <c r="AH825" s="300"/>
    </row>
    <row r="826" spans="1:34" s="73" customFormat="1" ht="12" customHeight="1">
      <c r="A826" s="26" t="s">
        <v>966</v>
      </c>
      <c r="B826" s="158">
        <v>36666.67</v>
      </c>
      <c r="C826" s="158">
        <v>36666.67</v>
      </c>
      <c r="D826" s="158">
        <v>36666.67</v>
      </c>
      <c r="E826" s="158"/>
      <c r="G826" s="158"/>
      <c r="H826" s="158"/>
      <c r="I826" s="158"/>
      <c r="J826" s="158"/>
      <c r="K826" s="158"/>
      <c r="L826" s="158"/>
      <c r="M826" s="158"/>
      <c r="N826" s="368">
        <f t="shared" si="148"/>
        <v>110000.01</v>
      </c>
      <c r="P826" s="124"/>
      <c r="Q826" s="299"/>
      <c r="R826" s="300"/>
      <c r="S826" s="300"/>
      <c r="T826" s="300"/>
      <c r="U826" s="300"/>
      <c r="V826" s="300"/>
      <c r="W826" s="300"/>
      <c r="X826" s="300"/>
      <c r="Y826" s="300"/>
      <c r="Z826" s="300"/>
      <c r="AA826" s="300"/>
      <c r="AB826" s="300"/>
      <c r="AC826" s="300"/>
      <c r="AD826" s="300"/>
      <c r="AE826" s="300"/>
      <c r="AF826" s="300"/>
      <c r="AG826" s="300"/>
      <c r="AH826" s="300"/>
    </row>
    <row r="827" spans="1:34" s="73" customFormat="1" ht="12" customHeight="1" hidden="1">
      <c r="A827" s="26" t="s">
        <v>515</v>
      </c>
      <c r="B827" s="158"/>
      <c r="C827" s="158"/>
      <c r="D827" s="158"/>
      <c r="E827" s="158"/>
      <c r="F827" s="158"/>
      <c r="G827" s="158"/>
      <c r="H827" s="158"/>
      <c r="I827" s="158"/>
      <c r="J827" s="158"/>
      <c r="K827" s="158"/>
      <c r="L827" s="158"/>
      <c r="M827" s="158"/>
      <c r="N827" s="368">
        <f t="shared" si="148"/>
        <v>0</v>
      </c>
      <c r="P827" s="124"/>
      <c r="Q827" s="299"/>
      <c r="R827" s="300"/>
      <c r="S827" s="300"/>
      <c r="T827" s="300"/>
      <c r="U827" s="300"/>
      <c r="V827" s="300"/>
      <c r="W827" s="300"/>
      <c r="X827" s="300"/>
      <c r="Y827" s="300"/>
      <c r="Z827" s="300"/>
      <c r="AA827" s="300"/>
      <c r="AB827" s="300"/>
      <c r="AC827" s="300"/>
      <c r="AD827" s="300"/>
      <c r="AE827" s="300"/>
      <c r="AF827" s="300"/>
      <c r="AG827" s="300"/>
      <c r="AH827" s="300"/>
    </row>
    <row r="828" spans="1:34" s="73" customFormat="1" ht="12" customHeight="1" hidden="1">
      <c r="A828" s="26" t="s">
        <v>516</v>
      </c>
      <c r="B828" s="158"/>
      <c r="C828" s="158"/>
      <c r="D828" s="158"/>
      <c r="E828" s="158"/>
      <c r="F828" s="158"/>
      <c r="G828" s="158"/>
      <c r="H828" s="158"/>
      <c r="I828" s="158"/>
      <c r="J828" s="158"/>
      <c r="K828" s="158"/>
      <c r="L828" s="158"/>
      <c r="M828" s="158"/>
      <c r="N828" s="368">
        <f t="shared" si="148"/>
        <v>0</v>
      </c>
      <c r="P828" s="124"/>
      <c r="Q828" s="299"/>
      <c r="R828" s="300"/>
      <c r="S828" s="300"/>
      <c r="T828" s="300"/>
      <c r="U828" s="300"/>
      <c r="V828" s="300"/>
      <c r="W828" s="300"/>
      <c r="X828" s="300"/>
      <c r="Y828" s="300"/>
      <c r="Z828" s="300"/>
      <c r="AA828" s="300"/>
      <c r="AB828" s="300"/>
      <c r="AC828" s="300"/>
      <c r="AD828" s="300"/>
      <c r="AE828" s="300"/>
      <c r="AF828" s="300"/>
      <c r="AG828" s="300"/>
      <c r="AH828" s="300"/>
    </row>
    <row r="829" spans="1:34" s="73" customFormat="1" ht="12" customHeight="1" hidden="1">
      <c r="A829" s="26" t="s">
        <v>517</v>
      </c>
      <c r="B829" s="158"/>
      <c r="C829" s="158"/>
      <c r="D829" s="158"/>
      <c r="E829" s="158"/>
      <c r="F829" s="158"/>
      <c r="G829" s="158"/>
      <c r="H829" s="158"/>
      <c r="I829" s="158"/>
      <c r="J829" s="158"/>
      <c r="K829" s="158"/>
      <c r="L829" s="158"/>
      <c r="M829" s="158"/>
      <c r="N829" s="368">
        <f aca="true" t="shared" si="149" ref="N829:N846">SUM(B829:M829)</f>
        <v>0</v>
      </c>
      <c r="P829" s="124"/>
      <c r="Q829" s="299"/>
      <c r="R829" s="300"/>
      <c r="S829" s="300"/>
      <c r="T829" s="300"/>
      <c r="U829" s="300"/>
      <c r="V829" s="300"/>
      <c r="W829" s="300"/>
      <c r="X829" s="300"/>
      <c r="Y829" s="300"/>
      <c r="Z829" s="300"/>
      <c r="AA829" s="300"/>
      <c r="AB829" s="300"/>
      <c r="AC829" s="300"/>
      <c r="AD829" s="300"/>
      <c r="AE829" s="300"/>
      <c r="AF829" s="300"/>
      <c r="AG829" s="300"/>
      <c r="AH829" s="300"/>
    </row>
    <row r="830" spans="1:34" s="73" customFormat="1" ht="12" customHeight="1" hidden="1">
      <c r="A830" s="26" t="s">
        <v>518</v>
      </c>
      <c r="B830" s="158"/>
      <c r="C830" s="158"/>
      <c r="D830" s="158"/>
      <c r="E830" s="158"/>
      <c r="F830" s="158"/>
      <c r="G830" s="158"/>
      <c r="H830" s="158"/>
      <c r="I830" s="158"/>
      <c r="J830" s="158"/>
      <c r="K830" s="158"/>
      <c r="L830" s="158"/>
      <c r="M830" s="158"/>
      <c r="N830" s="368">
        <f t="shared" si="149"/>
        <v>0</v>
      </c>
      <c r="P830" s="124"/>
      <c r="Q830" s="299"/>
      <c r="R830" s="300"/>
      <c r="S830" s="300"/>
      <c r="T830" s="300"/>
      <c r="U830" s="300"/>
      <c r="V830" s="300"/>
      <c r="W830" s="300"/>
      <c r="X830" s="300"/>
      <c r="Y830" s="300"/>
      <c r="Z830" s="300"/>
      <c r="AA830" s="300"/>
      <c r="AB830" s="300"/>
      <c r="AC830" s="300"/>
      <c r="AD830" s="300"/>
      <c r="AE830" s="300"/>
      <c r="AF830" s="300"/>
      <c r="AG830" s="300"/>
      <c r="AH830" s="300"/>
    </row>
    <row r="831" spans="1:34" s="28" customFormat="1" ht="12" customHeight="1" hidden="1">
      <c r="A831" s="26" t="s">
        <v>519</v>
      </c>
      <c r="B831" s="158"/>
      <c r="C831" s="158"/>
      <c r="D831" s="158"/>
      <c r="E831" s="158"/>
      <c r="F831" s="158"/>
      <c r="G831" s="158"/>
      <c r="H831" s="158"/>
      <c r="I831" s="158"/>
      <c r="J831" s="158"/>
      <c r="K831" s="158"/>
      <c r="L831" s="158"/>
      <c r="M831" s="158"/>
      <c r="N831" s="368">
        <f t="shared" si="149"/>
        <v>0</v>
      </c>
      <c r="O831" s="73"/>
      <c r="P831" s="65">
        <f>SUM(B819:I819)</f>
        <v>0</v>
      </c>
      <c r="Q831" s="68"/>
      <c r="R831" s="117"/>
      <c r="S831" s="117">
        <f>N832</f>
        <v>0</v>
      </c>
      <c r="T831" s="117"/>
      <c r="U831" s="117"/>
      <c r="V831" s="117"/>
      <c r="W831" s="117"/>
      <c r="X831" s="117"/>
      <c r="Y831" s="117"/>
      <c r="Z831" s="117"/>
      <c r="AA831" s="117"/>
      <c r="AB831" s="117"/>
      <c r="AC831" s="117"/>
      <c r="AD831" s="117"/>
      <c r="AE831" s="117"/>
      <c r="AF831" s="117"/>
      <c r="AG831" s="117"/>
      <c r="AH831" s="117"/>
    </row>
    <row r="832" spans="1:34" s="28" customFormat="1" ht="12" customHeight="1" hidden="1">
      <c r="A832" s="15" t="s">
        <v>192</v>
      </c>
      <c r="B832" s="137"/>
      <c r="C832" s="137"/>
      <c r="D832" s="137"/>
      <c r="E832" s="137"/>
      <c r="F832" s="137"/>
      <c r="G832" s="137"/>
      <c r="H832" s="137"/>
      <c r="I832" s="137"/>
      <c r="J832" s="137"/>
      <c r="K832" s="137"/>
      <c r="L832" s="137"/>
      <c r="M832" s="137"/>
      <c r="N832" s="20">
        <f t="shared" si="149"/>
        <v>0</v>
      </c>
      <c r="P832" s="65">
        <f>SUM(B820:I820)</f>
        <v>0</v>
      </c>
      <c r="Q832" s="68"/>
      <c r="R832" s="117"/>
      <c r="S832" s="117"/>
      <c r="T832" s="117"/>
      <c r="U832" s="117"/>
      <c r="V832" s="117"/>
      <c r="W832" s="117"/>
      <c r="X832" s="117"/>
      <c r="Y832" s="117"/>
      <c r="Z832" s="117"/>
      <c r="AA832" s="117"/>
      <c r="AB832" s="117"/>
      <c r="AC832" s="117"/>
      <c r="AD832" s="117"/>
      <c r="AE832" s="117"/>
      <c r="AF832" s="117"/>
      <c r="AG832" s="117"/>
      <c r="AH832" s="117"/>
    </row>
    <row r="833" spans="1:34" s="24" customFormat="1" ht="12" customHeight="1" hidden="1">
      <c r="A833" s="15" t="s">
        <v>175</v>
      </c>
      <c r="B833" s="13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20">
        <f t="shared" si="149"/>
        <v>0</v>
      </c>
      <c r="O833" s="28"/>
      <c r="P833" s="76"/>
      <c r="Q833" s="69"/>
      <c r="R833" s="75"/>
      <c r="S833" s="75"/>
      <c r="T833" s="75" t="s">
        <v>409</v>
      </c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</row>
    <row r="834" spans="1:34" s="28" customFormat="1" ht="12" customHeight="1" hidden="1">
      <c r="A834" s="3" t="s">
        <v>213</v>
      </c>
      <c r="B834" s="13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9">
        <f t="shared" si="149"/>
        <v>0</v>
      </c>
      <c r="O834" s="24"/>
      <c r="P834" s="65" t="e">
        <f>SUM(#REF!)</f>
        <v>#REF!</v>
      </c>
      <c r="Q834" s="68"/>
      <c r="R834" s="117"/>
      <c r="S834" s="117">
        <f>SUM(N836:N838)</f>
        <v>910793.04</v>
      </c>
      <c r="T834" s="117"/>
      <c r="U834" s="117"/>
      <c r="V834" s="117"/>
      <c r="W834" s="117"/>
      <c r="X834" s="117"/>
      <c r="Y834" s="117"/>
      <c r="Z834" s="117"/>
      <c r="AA834" s="117"/>
      <c r="AB834" s="117"/>
      <c r="AC834" s="117"/>
      <c r="AD834" s="117"/>
      <c r="AE834" s="117"/>
      <c r="AF834" s="117"/>
      <c r="AG834" s="117"/>
      <c r="AH834" s="117"/>
    </row>
    <row r="835" spans="1:34" s="24" customFormat="1" ht="12" customHeight="1">
      <c r="A835" s="15" t="s">
        <v>148</v>
      </c>
      <c r="B835" s="137">
        <f>SUM(B836:B838)</f>
        <v>75899.42</v>
      </c>
      <c r="C835" s="137">
        <f aca="true" t="shared" si="150" ref="C835:M835">SUM(C836:C838)</f>
        <v>75899.42</v>
      </c>
      <c r="D835" s="137">
        <f t="shared" si="150"/>
        <v>75899.42</v>
      </c>
      <c r="E835" s="137">
        <f t="shared" si="150"/>
        <v>75899.42</v>
      </c>
      <c r="F835" s="137">
        <f t="shared" si="150"/>
        <v>75899.42</v>
      </c>
      <c r="G835" s="137">
        <f t="shared" si="150"/>
        <v>75899.42</v>
      </c>
      <c r="H835" s="137">
        <f t="shared" si="150"/>
        <v>75899.42</v>
      </c>
      <c r="I835" s="137">
        <f t="shared" si="150"/>
        <v>75899.42</v>
      </c>
      <c r="J835" s="137">
        <f t="shared" si="150"/>
        <v>75899.42</v>
      </c>
      <c r="K835" s="137">
        <f t="shared" si="150"/>
        <v>75899.42</v>
      </c>
      <c r="L835" s="137">
        <f t="shared" si="150"/>
        <v>75899.42</v>
      </c>
      <c r="M835" s="137">
        <f t="shared" si="150"/>
        <v>75899.42</v>
      </c>
      <c r="N835" s="20">
        <f t="shared" si="149"/>
        <v>910793.0400000002</v>
      </c>
      <c r="O835" s="28"/>
      <c r="P835" s="76"/>
      <c r="Q835" s="69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</row>
    <row r="836" spans="1:34" s="24" customFormat="1" ht="12" customHeight="1">
      <c r="A836" s="3" t="s">
        <v>277</v>
      </c>
      <c r="B836" s="136">
        <v>60000</v>
      </c>
      <c r="C836" s="136">
        <v>60000</v>
      </c>
      <c r="D836" s="136">
        <v>60000</v>
      </c>
      <c r="E836" s="136">
        <v>60000</v>
      </c>
      <c r="F836" s="136">
        <v>60000</v>
      </c>
      <c r="G836" s="136">
        <v>60000</v>
      </c>
      <c r="H836" s="136">
        <v>60000</v>
      </c>
      <c r="I836" s="136">
        <v>60000</v>
      </c>
      <c r="J836" s="136">
        <v>60000</v>
      </c>
      <c r="K836" s="136">
        <v>60000</v>
      </c>
      <c r="L836" s="136">
        <v>60000</v>
      </c>
      <c r="M836" s="136">
        <v>60000</v>
      </c>
      <c r="N836" s="19">
        <f t="shared" si="149"/>
        <v>720000</v>
      </c>
      <c r="P836" s="76"/>
      <c r="Q836" s="69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</row>
    <row r="837" spans="1:34" s="24" customFormat="1" ht="12" customHeight="1">
      <c r="A837" s="3" t="s">
        <v>327</v>
      </c>
      <c r="B837" s="136">
        <v>10532.5</v>
      </c>
      <c r="C837" s="136">
        <v>10532.5</v>
      </c>
      <c r="D837" s="136">
        <v>10532.5</v>
      </c>
      <c r="E837" s="136">
        <v>10532.5</v>
      </c>
      <c r="F837" s="136">
        <v>10532.5</v>
      </c>
      <c r="G837" s="136">
        <v>10532.5</v>
      </c>
      <c r="H837" s="136">
        <v>10532.5</v>
      </c>
      <c r="I837" s="136">
        <v>10532.5</v>
      </c>
      <c r="J837" s="136">
        <v>10532.5</v>
      </c>
      <c r="K837" s="136">
        <v>10532.5</v>
      </c>
      <c r="L837" s="136">
        <v>10532.5</v>
      </c>
      <c r="M837" s="136">
        <v>10532.5</v>
      </c>
      <c r="N837" s="19">
        <f t="shared" si="149"/>
        <v>126390</v>
      </c>
      <c r="P837" s="76"/>
      <c r="Q837" s="69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</row>
    <row r="838" spans="1:34" s="28" customFormat="1" ht="12" customHeight="1">
      <c r="A838" s="3" t="s">
        <v>342</v>
      </c>
      <c r="B838" s="136">
        <v>5366.92</v>
      </c>
      <c r="C838" s="136">
        <v>5366.92</v>
      </c>
      <c r="D838" s="136">
        <v>5366.92</v>
      </c>
      <c r="E838" s="136">
        <v>5366.92</v>
      </c>
      <c r="F838" s="136">
        <v>5366.92</v>
      </c>
      <c r="G838" s="136">
        <v>5366.92</v>
      </c>
      <c r="H838" s="136">
        <v>5366.92</v>
      </c>
      <c r="I838" s="136">
        <v>5366.92</v>
      </c>
      <c r="J838" s="136">
        <v>5366.92</v>
      </c>
      <c r="K838" s="136">
        <v>5366.92</v>
      </c>
      <c r="L838" s="136">
        <v>5366.92</v>
      </c>
      <c r="M838" s="136">
        <v>5366.92</v>
      </c>
      <c r="N838" s="19">
        <f t="shared" si="149"/>
        <v>64403.039999999986</v>
      </c>
      <c r="O838" s="24"/>
      <c r="P838" s="76">
        <f>SUM(B832:I832)</f>
        <v>0</v>
      </c>
      <c r="Q838" s="68"/>
      <c r="R838" s="117"/>
      <c r="S838" s="117">
        <f>N840</f>
        <v>540000</v>
      </c>
      <c r="T838" s="117"/>
      <c r="U838" s="117"/>
      <c r="V838" s="117"/>
      <c r="W838" s="117"/>
      <c r="X838" s="117"/>
      <c r="Y838" s="117"/>
      <c r="Z838" s="117"/>
      <c r="AA838" s="117"/>
      <c r="AB838" s="117"/>
      <c r="AC838" s="117"/>
      <c r="AD838" s="117"/>
      <c r="AE838" s="117"/>
      <c r="AF838" s="117"/>
      <c r="AG838" s="117"/>
      <c r="AH838" s="117"/>
    </row>
    <row r="839" spans="1:34" s="24" customFormat="1" ht="12" customHeight="1">
      <c r="A839" s="15" t="s">
        <v>121</v>
      </c>
      <c r="B839" s="137">
        <f>SUM(B840:B846)</f>
        <v>70000</v>
      </c>
      <c r="C839" s="137">
        <f aca="true" t="shared" si="151" ref="C839:M839">SUM(C840:C846)</f>
        <v>70000</v>
      </c>
      <c r="D839" s="137">
        <f t="shared" si="151"/>
        <v>70000</v>
      </c>
      <c r="E839" s="137">
        <f t="shared" si="151"/>
        <v>70000</v>
      </c>
      <c r="F839" s="137">
        <f t="shared" si="151"/>
        <v>70000</v>
      </c>
      <c r="G839" s="137">
        <f t="shared" si="151"/>
        <v>70000</v>
      </c>
      <c r="H839" s="137">
        <f t="shared" si="151"/>
        <v>70000</v>
      </c>
      <c r="I839" s="137">
        <f t="shared" si="151"/>
        <v>70000</v>
      </c>
      <c r="J839" s="137">
        <f t="shared" si="151"/>
        <v>70000</v>
      </c>
      <c r="K839" s="137">
        <f t="shared" si="151"/>
        <v>70000</v>
      </c>
      <c r="L839" s="137">
        <f t="shared" si="151"/>
        <v>70000</v>
      </c>
      <c r="M839" s="137">
        <f t="shared" si="151"/>
        <v>70000</v>
      </c>
      <c r="N839" s="20">
        <f t="shared" si="149"/>
        <v>840000</v>
      </c>
      <c r="O839" s="28"/>
      <c r="P839" s="76">
        <f>SUM(B833:I833)</f>
        <v>0</v>
      </c>
      <c r="Q839" s="69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</row>
    <row r="840" spans="1:34" s="24" customFormat="1" ht="12" customHeight="1">
      <c r="A840" s="3" t="s">
        <v>120</v>
      </c>
      <c r="B840" s="137">
        <v>45000</v>
      </c>
      <c r="C840" s="137">
        <v>45000</v>
      </c>
      <c r="D840" s="137">
        <v>45000</v>
      </c>
      <c r="E840" s="137">
        <v>45000</v>
      </c>
      <c r="F840" s="137">
        <v>45000</v>
      </c>
      <c r="G840" s="137">
        <v>45000</v>
      </c>
      <c r="H840" s="137">
        <v>45000</v>
      </c>
      <c r="I840" s="137">
        <v>45000</v>
      </c>
      <c r="J840" s="137">
        <v>45000</v>
      </c>
      <c r="K840" s="137">
        <v>45000</v>
      </c>
      <c r="L840" s="137">
        <v>45000</v>
      </c>
      <c r="M840" s="137">
        <v>45000</v>
      </c>
      <c r="N840" s="20">
        <f t="shared" si="149"/>
        <v>540000</v>
      </c>
      <c r="P840" s="76"/>
      <c r="Q840" s="69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</row>
    <row r="841" spans="1:34" s="24" customFormat="1" ht="12" customHeight="1" hidden="1">
      <c r="A841" s="3" t="s">
        <v>236</v>
      </c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9">
        <f t="shared" si="149"/>
        <v>0</v>
      </c>
      <c r="P841" s="76"/>
      <c r="Q841" s="69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</row>
    <row r="842" spans="1:34" s="24" customFormat="1" ht="12" customHeight="1" hidden="1">
      <c r="A842" s="3" t="s">
        <v>282</v>
      </c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9">
        <f t="shared" si="149"/>
        <v>0</v>
      </c>
      <c r="P842" s="76"/>
      <c r="Q842" s="69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</row>
    <row r="843" spans="1:34" s="24" customFormat="1" ht="12" customHeight="1" hidden="1">
      <c r="A843" s="3" t="s">
        <v>410</v>
      </c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9">
        <f t="shared" si="149"/>
        <v>0</v>
      </c>
      <c r="P843" s="76"/>
      <c r="Q843" s="69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</row>
    <row r="844" spans="1:34" s="24" customFormat="1" ht="12" customHeight="1" hidden="1">
      <c r="A844" s="3" t="s">
        <v>411</v>
      </c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9">
        <f t="shared" si="149"/>
        <v>0</v>
      </c>
      <c r="P844" s="76"/>
      <c r="Q844" s="69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</row>
    <row r="845" spans="1:34" s="28" customFormat="1" ht="12" customHeight="1" hidden="1">
      <c r="A845" s="3" t="s">
        <v>247</v>
      </c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9">
        <f t="shared" si="149"/>
        <v>0</v>
      </c>
      <c r="O845" s="24"/>
      <c r="P845" s="65"/>
      <c r="Q845" s="68"/>
      <c r="R845" s="117"/>
      <c r="S845" s="117"/>
      <c r="T845" s="117"/>
      <c r="U845" s="117"/>
      <c r="V845" s="117"/>
      <c r="W845" s="117"/>
      <c r="X845" s="117"/>
      <c r="Y845" s="117"/>
      <c r="Z845" s="117"/>
      <c r="AA845" s="117"/>
      <c r="AB845" s="117"/>
      <c r="AC845" s="117"/>
      <c r="AD845" s="117"/>
      <c r="AE845" s="117"/>
      <c r="AF845" s="117"/>
      <c r="AG845" s="117"/>
      <c r="AH845" s="117"/>
    </row>
    <row r="846" spans="1:34" s="28" customFormat="1" ht="12" customHeight="1">
      <c r="A846" s="15" t="s">
        <v>642</v>
      </c>
      <c r="B846" s="137">
        <v>25000</v>
      </c>
      <c r="C846" s="137">
        <v>25000</v>
      </c>
      <c r="D846" s="137">
        <v>25000</v>
      </c>
      <c r="E846" s="137">
        <v>25000</v>
      </c>
      <c r="F846" s="137">
        <v>25000</v>
      </c>
      <c r="G846" s="137">
        <v>25000</v>
      </c>
      <c r="H846" s="137">
        <v>25000</v>
      </c>
      <c r="I846" s="137">
        <v>25000</v>
      </c>
      <c r="J846" s="137">
        <v>25000</v>
      </c>
      <c r="K846" s="137">
        <v>25000</v>
      </c>
      <c r="L846" s="137">
        <v>25000</v>
      </c>
      <c r="M846" s="137">
        <v>25000</v>
      </c>
      <c r="N846" s="20">
        <f t="shared" si="149"/>
        <v>300000</v>
      </c>
      <c r="P846" s="65"/>
      <c r="Q846" s="68"/>
      <c r="R846" s="117"/>
      <c r="S846" s="117"/>
      <c r="T846" s="117"/>
      <c r="U846" s="117"/>
      <c r="V846" s="117"/>
      <c r="W846" s="117"/>
      <c r="X846" s="117"/>
      <c r="Y846" s="117"/>
      <c r="Z846" s="117"/>
      <c r="AA846" s="117"/>
      <c r="AB846" s="117"/>
      <c r="AC846" s="117"/>
      <c r="AD846" s="117"/>
      <c r="AE846" s="117"/>
      <c r="AF846" s="117"/>
      <c r="AG846" s="117"/>
      <c r="AH846" s="117"/>
    </row>
    <row r="847" spans="1:34" s="24" customFormat="1" ht="12" customHeight="1">
      <c r="A847" s="15" t="s">
        <v>174</v>
      </c>
      <c r="B847" s="137">
        <f>SUM(B848:B855)</f>
        <v>90000</v>
      </c>
      <c r="C847" s="137">
        <f aca="true" t="shared" si="152" ref="C847:N847">SUM(C848:C855)</f>
        <v>90000</v>
      </c>
      <c r="D847" s="137">
        <f t="shared" si="152"/>
        <v>90000</v>
      </c>
      <c r="E847" s="137">
        <f t="shared" si="152"/>
        <v>90000</v>
      </c>
      <c r="F847" s="137">
        <f t="shared" si="152"/>
        <v>90000</v>
      </c>
      <c r="G847" s="137">
        <f>SUM(G848:G855)</f>
        <v>90000</v>
      </c>
      <c r="H847" s="137">
        <f t="shared" si="152"/>
        <v>90000</v>
      </c>
      <c r="I847" s="137">
        <f t="shared" si="152"/>
        <v>90000</v>
      </c>
      <c r="J847" s="137">
        <f t="shared" si="152"/>
        <v>90000</v>
      </c>
      <c r="K847" s="137">
        <f t="shared" si="152"/>
        <v>90000</v>
      </c>
      <c r="L847" s="137">
        <f t="shared" si="152"/>
        <v>90000</v>
      </c>
      <c r="M847" s="137">
        <f t="shared" si="152"/>
        <v>90000</v>
      </c>
      <c r="N847" s="137">
        <f t="shared" si="152"/>
        <v>1080000</v>
      </c>
      <c r="O847" s="28"/>
      <c r="P847" s="76"/>
      <c r="Q847" s="69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</row>
    <row r="848" spans="1:34" s="28" customFormat="1" ht="12" customHeight="1">
      <c r="A848" s="3" t="s">
        <v>277</v>
      </c>
      <c r="B848" s="136">
        <v>90000</v>
      </c>
      <c r="C848" s="136">
        <v>90000</v>
      </c>
      <c r="D848" s="136">
        <v>90000</v>
      </c>
      <c r="E848" s="136">
        <v>90000</v>
      </c>
      <c r="F848" s="136">
        <v>90000</v>
      </c>
      <c r="G848" s="136">
        <v>90000</v>
      </c>
      <c r="H848" s="136">
        <v>90000</v>
      </c>
      <c r="I848" s="136">
        <v>90000</v>
      </c>
      <c r="J848" s="136">
        <v>90000</v>
      </c>
      <c r="K848" s="136">
        <v>90000</v>
      </c>
      <c r="L848" s="136">
        <v>90000</v>
      </c>
      <c r="M848" s="136">
        <v>90000</v>
      </c>
      <c r="N848" s="19">
        <f aca="true" t="shared" si="153" ref="N848:N886">SUM(B848:M848)</f>
        <v>1080000</v>
      </c>
      <c r="O848" s="24"/>
      <c r="P848" s="65">
        <f>SUM(B845:I845)</f>
        <v>0</v>
      </c>
      <c r="Q848" s="68"/>
      <c r="R848" s="117"/>
      <c r="S848" s="117">
        <f>SUM(N860:N884)</f>
        <v>23176000.080000002</v>
      </c>
      <c r="T848" s="117"/>
      <c r="U848" s="117"/>
      <c r="V848" s="117"/>
      <c r="W848" s="117"/>
      <c r="X848" s="117"/>
      <c r="Y848" s="117"/>
      <c r="Z848" s="117"/>
      <c r="AA848" s="117"/>
      <c r="AB848" s="117"/>
      <c r="AC848" s="117"/>
      <c r="AD848" s="117"/>
      <c r="AE848" s="117"/>
      <c r="AF848" s="117"/>
      <c r="AG848" s="117"/>
      <c r="AH848" s="117"/>
    </row>
    <row r="849" spans="1:34" s="24" customFormat="1" ht="12" hidden="1">
      <c r="A849" s="3" t="s">
        <v>461</v>
      </c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9">
        <f t="shared" si="153"/>
        <v>0</v>
      </c>
      <c r="O849" s="28"/>
      <c r="P849" s="76"/>
      <c r="Q849" s="69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</row>
    <row r="850" spans="1:34" s="24" customFormat="1" ht="12" customHeight="1" hidden="1">
      <c r="A850" s="3" t="s">
        <v>462</v>
      </c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9">
        <f t="shared" si="153"/>
        <v>0</v>
      </c>
      <c r="P850" s="76"/>
      <c r="Q850" s="69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</row>
    <row r="851" spans="1:34" s="24" customFormat="1" ht="12" customHeight="1" hidden="1">
      <c r="A851" s="3" t="s">
        <v>247</v>
      </c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9">
        <f t="shared" si="153"/>
        <v>0</v>
      </c>
      <c r="P851" s="76"/>
      <c r="Q851" s="69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</row>
    <row r="852" spans="1:34" s="24" customFormat="1" ht="12" customHeight="1" hidden="1">
      <c r="A852" s="3" t="s">
        <v>249</v>
      </c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9">
        <f t="shared" si="153"/>
        <v>0</v>
      </c>
      <c r="P852" s="76"/>
      <c r="Q852" s="69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</row>
    <row r="853" spans="1:34" s="24" customFormat="1" ht="12" customHeight="1" hidden="1">
      <c r="A853" s="3" t="s">
        <v>465</v>
      </c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9">
        <f t="shared" si="153"/>
        <v>0</v>
      </c>
      <c r="P853" s="76"/>
      <c r="Q853" s="69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</row>
    <row r="854" spans="1:34" s="24" customFormat="1" ht="12" hidden="1">
      <c r="A854" s="3" t="s">
        <v>326</v>
      </c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9">
        <f t="shared" si="153"/>
        <v>0</v>
      </c>
      <c r="P854" s="76"/>
      <c r="Q854" s="69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</row>
    <row r="855" spans="1:34" s="24" customFormat="1" ht="12" customHeight="1" hidden="1">
      <c r="A855" s="3" t="s">
        <v>325</v>
      </c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9">
        <f t="shared" si="153"/>
        <v>0</v>
      </c>
      <c r="P855" s="76"/>
      <c r="Q855" s="69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</row>
    <row r="856" spans="1:34" s="24" customFormat="1" ht="12" customHeight="1" hidden="1">
      <c r="A856" s="15" t="s">
        <v>511</v>
      </c>
      <c r="B856" s="137">
        <f>SUM(B857)</f>
        <v>0</v>
      </c>
      <c r="C856" s="137">
        <f aca="true" t="shared" si="154" ref="C856:M856">SUM(C857)</f>
        <v>0</v>
      </c>
      <c r="D856" s="137">
        <f t="shared" si="154"/>
        <v>0</v>
      </c>
      <c r="E856" s="137">
        <f t="shared" si="154"/>
        <v>0</v>
      </c>
      <c r="F856" s="137">
        <f t="shared" si="154"/>
        <v>0</v>
      </c>
      <c r="G856" s="137">
        <f t="shared" si="154"/>
        <v>0</v>
      </c>
      <c r="H856" s="137">
        <f t="shared" si="154"/>
        <v>0</v>
      </c>
      <c r="I856" s="137">
        <f t="shared" si="154"/>
        <v>0</v>
      </c>
      <c r="J856" s="137">
        <f t="shared" si="154"/>
        <v>0</v>
      </c>
      <c r="K856" s="137">
        <f t="shared" si="154"/>
        <v>0</v>
      </c>
      <c r="L856" s="137">
        <f t="shared" si="154"/>
        <v>0</v>
      </c>
      <c r="M856" s="137">
        <f t="shared" si="154"/>
        <v>0</v>
      </c>
      <c r="N856" s="20">
        <f t="shared" si="153"/>
        <v>0</v>
      </c>
      <c r="P856" s="76"/>
      <c r="Q856" s="69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</row>
    <row r="857" spans="1:34" s="24" customFormat="1" ht="12" customHeight="1" hidden="1">
      <c r="A857" s="3" t="s">
        <v>277</v>
      </c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9">
        <f t="shared" si="153"/>
        <v>0</v>
      </c>
      <c r="P857" s="76"/>
      <c r="Q857" s="69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</row>
    <row r="858" spans="1:34" s="24" customFormat="1" ht="12" customHeight="1">
      <c r="A858" s="15" t="s">
        <v>164</v>
      </c>
      <c r="B858" s="137">
        <f>B859+B882+B886</f>
        <v>1966213.09</v>
      </c>
      <c r="C858" s="137">
        <f>C859+C882+C886</f>
        <v>1942694.09</v>
      </c>
      <c r="D858" s="137">
        <f>D859+D882+D886</f>
        <v>1666213.09</v>
      </c>
      <c r="E858" s="137">
        <f aca="true" t="shared" si="155" ref="E858:M858">E859+E882+E886</f>
        <v>1666213.09</v>
      </c>
      <c r="F858" s="137">
        <f t="shared" si="155"/>
        <v>1966213.09</v>
      </c>
      <c r="G858" s="137">
        <f t="shared" si="155"/>
        <v>1942694.09</v>
      </c>
      <c r="H858" s="137">
        <f t="shared" si="155"/>
        <v>1666213.09</v>
      </c>
      <c r="I858" s="137">
        <f t="shared" si="155"/>
        <v>1666213.09</v>
      </c>
      <c r="J858" s="137">
        <f t="shared" si="155"/>
        <v>1966213.09</v>
      </c>
      <c r="K858" s="137">
        <f t="shared" si="155"/>
        <v>1918694.09</v>
      </c>
      <c r="L858" s="137">
        <f t="shared" si="155"/>
        <v>1866213.09</v>
      </c>
      <c r="M858" s="137">
        <f t="shared" si="155"/>
        <v>1766213.09</v>
      </c>
      <c r="N858" s="20">
        <f t="shared" si="153"/>
        <v>22000000.080000002</v>
      </c>
      <c r="O858" s="34">
        <f>N859+N882</f>
        <v>21976000.080000002</v>
      </c>
      <c r="P858" s="76"/>
      <c r="Q858" s="69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</row>
    <row r="859" spans="1:34" s="24" customFormat="1" ht="12" customHeight="1">
      <c r="A859" s="15" t="s">
        <v>541</v>
      </c>
      <c r="B859" s="137">
        <f>SUM(B860:B881)</f>
        <v>1664213.09</v>
      </c>
      <c r="C859" s="137">
        <f aca="true" t="shared" si="156" ref="C859:M859">SUM(C860:C881)</f>
        <v>1664213.09</v>
      </c>
      <c r="D859" s="137">
        <f t="shared" si="156"/>
        <v>1664213.09</v>
      </c>
      <c r="E859" s="137">
        <f t="shared" si="156"/>
        <v>1664213.09</v>
      </c>
      <c r="F859" s="137">
        <f t="shared" si="156"/>
        <v>1664213.09</v>
      </c>
      <c r="G859" s="137">
        <f t="shared" si="156"/>
        <v>1664213.09</v>
      </c>
      <c r="H859" s="137">
        <f t="shared" si="156"/>
        <v>1664213.09</v>
      </c>
      <c r="I859" s="137">
        <f t="shared" si="156"/>
        <v>1664213.09</v>
      </c>
      <c r="J859" s="137">
        <f t="shared" si="156"/>
        <v>1664213.09</v>
      </c>
      <c r="K859" s="137">
        <f t="shared" si="156"/>
        <v>1664213.09</v>
      </c>
      <c r="L859" s="137">
        <f t="shared" si="156"/>
        <v>1664213.09</v>
      </c>
      <c r="M859" s="137">
        <f t="shared" si="156"/>
        <v>1664213.09</v>
      </c>
      <c r="N859" s="20">
        <f t="shared" si="153"/>
        <v>19970557.080000002</v>
      </c>
      <c r="P859" s="76"/>
      <c r="Q859" s="69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</row>
    <row r="860" spans="1:34" s="24" customFormat="1" ht="12" customHeight="1" hidden="1">
      <c r="A860" s="3" t="s">
        <v>236</v>
      </c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>
        <f t="shared" si="153"/>
        <v>0</v>
      </c>
      <c r="P860" s="76"/>
      <c r="Q860" s="69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</row>
    <row r="861" spans="1:34" s="24" customFormat="1" ht="12" customHeight="1" hidden="1">
      <c r="A861" s="3" t="s">
        <v>237</v>
      </c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9">
        <f t="shared" si="153"/>
        <v>0</v>
      </c>
      <c r="P861" s="76"/>
      <c r="Q861" s="69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</row>
    <row r="862" spans="1:34" s="24" customFormat="1" ht="12" customHeight="1">
      <c r="A862" s="3" t="s">
        <v>238</v>
      </c>
      <c r="B862" s="136">
        <f>1365000+299213.09</f>
        <v>1664213.09</v>
      </c>
      <c r="C862" s="136">
        <f aca="true" t="shared" si="157" ref="C862:M862">1365000+299213.09</f>
        <v>1664213.09</v>
      </c>
      <c r="D862" s="136">
        <f t="shared" si="157"/>
        <v>1664213.09</v>
      </c>
      <c r="E862" s="136">
        <f t="shared" si="157"/>
        <v>1664213.09</v>
      </c>
      <c r="F862" s="136">
        <f t="shared" si="157"/>
        <v>1664213.09</v>
      </c>
      <c r="G862" s="136">
        <f t="shared" si="157"/>
        <v>1664213.09</v>
      </c>
      <c r="H862" s="136">
        <f t="shared" si="157"/>
        <v>1664213.09</v>
      </c>
      <c r="I862" s="136">
        <f t="shared" si="157"/>
        <v>1664213.09</v>
      </c>
      <c r="J862" s="136">
        <f t="shared" si="157"/>
        <v>1664213.09</v>
      </c>
      <c r="K862" s="136">
        <f t="shared" si="157"/>
        <v>1664213.09</v>
      </c>
      <c r="L862" s="136">
        <f t="shared" si="157"/>
        <v>1664213.09</v>
      </c>
      <c r="M862" s="136">
        <f t="shared" si="157"/>
        <v>1664213.09</v>
      </c>
      <c r="N862" s="19">
        <f t="shared" si="153"/>
        <v>19970557.080000002</v>
      </c>
      <c r="P862" s="76"/>
      <c r="Q862" s="69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</row>
    <row r="863" spans="1:34" s="24" customFormat="1" ht="12" customHeight="1" hidden="1">
      <c r="A863" s="3" t="s">
        <v>239</v>
      </c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9">
        <f t="shared" si="153"/>
        <v>0</v>
      </c>
      <c r="P863" s="76"/>
      <c r="Q863" s="69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</row>
    <row r="864" spans="1:34" s="24" customFormat="1" ht="12" customHeight="1" hidden="1">
      <c r="A864" s="3" t="s">
        <v>240</v>
      </c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9">
        <f t="shared" si="153"/>
        <v>0</v>
      </c>
      <c r="P864" s="76"/>
      <c r="Q864" s="69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</row>
    <row r="865" spans="1:34" s="24" customFormat="1" ht="12" hidden="1">
      <c r="A865" s="3" t="s">
        <v>241</v>
      </c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9">
        <f t="shared" si="153"/>
        <v>0</v>
      </c>
      <c r="P865" s="76"/>
      <c r="Q865" s="69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</row>
    <row r="866" spans="1:34" s="24" customFormat="1" ht="12" customHeight="1" hidden="1">
      <c r="A866" s="3" t="s">
        <v>242</v>
      </c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9">
        <f t="shared" si="153"/>
        <v>0</v>
      </c>
      <c r="P866" s="76"/>
      <c r="Q866" s="69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</row>
    <row r="867" spans="1:34" s="24" customFormat="1" ht="12" customHeight="1" hidden="1">
      <c r="A867" s="3" t="s">
        <v>243</v>
      </c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9">
        <f t="shared" si="153"/>
        <v>0</v>
      </c>
      <c r="P867" s="76"/>
      <c r="Q867" s="69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</row>
    <row r="868" spans="1:34" s="24" customFormat="1" ht="12" customHeight="1" hidden="1">
      <c r="A868" s="3" t="s">
        <v>244</v>
      </c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9">
        <f t="shared" si="153"/>
        <v>0</v>
      </c>
      <c r="P868" s="76"/>
      <c r="Q868" s="69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</row>
    <row r="869" spans="1:34" s="24" customFormat="1" ht="12" customHeight="1" hidden="1">
      <c r="A869" s="3" t="s">
        <v>245</v>
      </c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9">
        <f t="shared" si="153"/>
        <v>0</v>
      </c>
      <c r="P869" s="76"/>
      <c r="Q869" s="69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</row>
    <row r="870" spans="1:34" s="24" customFormat="1" ht="12" customHeight="1" hidden="1">
      <c r="A870" s="3" t="s">
        <v>246</v>
      </c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9">
        <f t="shared" si="153"/>
        <v>0</v>
      </c>
      <c r="P870" s="76"/>
      <c r="Q870" s="69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</row>
    <row r="871" spans="1:34" s="24" customFormat="1" ht="12" customHeight="1" hidden="1">
      <c r="A871" s="3" t="s">
        <v>247</v>
      </c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9">
        <f t="shared" si="153"/>
        <v>0</v>
      </c>
      <c r="P871" s="76"/>
      <c r="Q871" s="69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</row>
    <row r="872" spans="1:34" s="24" customFormat="1" ht="12" customHeight="1" hidden="1">
      <c r="A872" s="3" t="s">
        <v>248</v>
      </c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9">
        <f t="shared" si="153"/>
        <v>0</v>
      </c>
      <c r="P872" s="76"/>
      <c r="Q872" s="69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</row>
    <row r="873" spans="1:34" s="24" customFormat="1" ht="12" customHeight="1" hidden="1">
      <c r="A873" s="3" t="s">
        <v>393</v>
      </c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9">
        <f t="shared" si="153"/>
        <v>0</v>
      </c>
      <c r="P873" s="76"/>
      <c r="Q873" s="69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</row>
    <row r="874" spans="1:34" s="28" customFormat="1" ht="12" customHeight="1" hidden="1">
      <c r="A874" s="3" t="s">
        <v>249</v>
      </c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9">
        <f t="shared" si="153"/>
        <v>0</v>
      </c>
      <c r="O874" s="24"/>
      <c r="P874" s="65">
        <f>SUM(B881:I881)</f>
        <v>0</v>
      </c>
      <c r="Q874" s="68"/>
      <c r="R874" s="117"/>
      <c r="S874" s="75" t="e">
        <f>SUM(#REF!)</f>
        <v>#REF!</v>
      </c>
      <c r="T874" s="117"/>
      <c r="U874" s="117"/>
      <c r="V874" s="117"/>
      <c r="W874" s="117"/>
      <c r="X874" s="117"/>
      <c r="Y874" s="117"/>
      <c r="Z874" s="117"/>
      <c r="AA874" s="117"/>
      <c r="AB874" s="117"/>
      <c r="AC874" s="117"/>
      <c r="AD874" s="117"/>
      <c r="AE874" s="117"/>
      <c r="AF874" s="117"/>
      <c r="AG874" s="117"/>
      <c r="AH874" s="117"/>
    </row>
    <row r="875" spans="1:34" s="24" customFormat="1" ht="12" customHeight="1" hidden="1">
      <c r="A875" s="3" t="s">
        <v>250</v>
      </c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9">
        <f t="shared" si="153"/>
        <v>0</v>
      </c>
      <c r="O875" s="28"/>
      <c r="P875" s="76"/>
      <c r="Q875" s="69"/>
      <c r="R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</row>
    <row r="876" spans="1:34" s="24" customFormat="1" ht="12" customHeight="1" hidden="1">
      <c r="A876" s="3" t="s">
        <v>251</v>
      </c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9">
        <f t="shared" si="153"/>
        <v>0</v>
      </c>
      <c r="P876" s="76"/>
      <c r="Q876" s="69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</row>
    <row r="877" spans="1:34" s="24" customFormat="1" ht="12" customHeight="1" hidden="1">
      <c r="A877" s="3" t="s">
        <v>252</v>
      </c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9">
        <f t="shared" si="153"/>
        <v>0</v>
      </c>
      <c r="P877" s="76"/>
      <c r="Q877" s="69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</row>
    <row r="878" spans="1:34" s="28" customFormat="1" ht="12" customHeight="1" hidden="1">
      <c r="A878" s="3" t="s">
        <v>415</v>
      </c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9">
        <f t="shared" si="153"/>
        <v>0</v>
      </c>
      <c r="O878" s="24"/>
      <c r="P878" s="65">
        <f>SUM(B836:I836)</f>
        <v>480000</v>
      </c>
      <c r="Q878" s="68"/>
      <c r="R878" s="117"/>
      <c r="S878" s="117">
        <f>N893</f>
        <v>0</v>
      </c>
      <c r="T878" s="117"/>
      <c r="U878" s="117"/>
      <c r="V878" s="117"/>
      <c r="W878" s="117"/>
      <c r="X878" s="117"/>
      <c r="Y878" s="117"/>
      <c r="Z878" s="117"/>
      <c r="AA878" s="117"/>
      <c r="AB878" s="117"/>
      <c r="AC878" s="117"/>
      <c r="AD878" s="117"/>
      <c r="AE878" s="117"/>
      <c r="AF878" s="117"/>
      <c r="AG878" s="117"/>
      <c r="AH878" s="117"/>
    </row>
    <row r="879" spans="1:34" s="24" customFormat="1" ht="12" customHeight="1" hidden="1">
      <c r="A879" s="3" t="s">
        <v>338</v>
      </c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9">
        <f t="shared" si="153"/>
        <v>0</v>
      </c>
      <c r="O879" s="28"/>
      <c r="P879" s="76"/>
      <c r="Q879" s="69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</row>
    <row r="880" spans="1:34" s="28" customFormat="1" ht="12" customHeight="1" hidden="1">
      <c r="A880" s="3" t="s">
        <v>341</v>
      </c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9">
        <f t="shared" si="153"/>
        <v>0</v>
      </c>
      <c r="O880" s="24"/>
      <c r="P880" s="65">
        <f>SUM(B838:I838)</f>
        <v>42935.35999999999</v>
      </c>
      <c r="Q880" s="68"/>
      <c r="R880" s="117"/>
      <c r="S880" s="117">
        <f>SUM(N882:R892)</f>
        <v>6434886</v>
      </c>
      <c r="T880" s="117"/>
      <c r="U880" s="117"/>
      <c r="V880" s="117"/>
      <c r="W880" s="117"/>
      <c r="X880" s="117"/>
      <c r="Y880" s="117"/>
      <c r="Z880" s="117"/>
      <c r="AA880" s="117"/>
      <c r="AB880" s="117"/>
      <c r="AC880" s="117"/>
      <c r="AD880" s="117"/>
      <c r="AE880" s="117"/>
      <c r="AF880" s="117"/>
      <c r="AG880" s="117"/>
      <c r="AH880" s="117"/>
    </row>
    <row r="881" spans="1:34" s="28" customFormat="1" ht="12" customHeight="1" hidden="1">
      <c r="A881" s="3" t="s">
        <v>339</v>
      </c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9">
        <f t="shared" si="153"/>
        <v>0</v>
      </c>
      <c r="P881" s="65"/>
      <c r="Q881" s="68"/>
      <c r="R881" s="117"/>
      <c r="S881" s="117"/>
      <c r="T881" s="117"/>
      <c r="U881" s="117"/>
      <c r="V881" s="117"/>
      <c r="W881" s="117"/>
      <c r="X881" s="117"/>
      <c r="Y881" s="117"/>
      <c r="Z881" s="117"/>
      <c r="AA881" s="117"/>
      <c r="AB881" s="117"/>
      <c r="AC881" s="117"/>
      <c r="AD881" s="117"/>
      <c r="AE881" s="117"/>
      <c r="AF881" s="117"/>
      <c r="AG881" s="117"/>
      <c r="AH881" s="117"/>
    </row>
    <row r="882" spans="1:34" s="24" customFormat="1" ht="12" customHeight="1">
      <c r="A882" s="15" t="s">
        <v>542</v>
      </c>
      <c r="B882" s="137">
        <f>SUM(B883:B885)</f>
        <v>300000</v>
      </c>
      <c r="C882" s="137">
        <f aca="true" t="shared" si="158" ref="C882:M882">SUM(C883:C885)</f>
        <v>276481</v>
      </c>
      <c r="D882" s="137">
        <f t="shared" si="158"/>
        <v>0</v>
      </c>
      <c r="E882" s="137">
        <f t="shared" si="158"/>
        <v>0</v>
      </c>
      <c r="F882" s="137">
        <f t="shared" si="158"/>
        <v>300000</v>
      </c>
      <c r="G882" s="137">
        <f t="shared" si="158"/>
        <v>276481</v>
      </c>
      <c r="H882" s="137">
        <f t="shared" si="158"/>
        <v>0</v>
      </c>
      <c r="I882" s="137">
        <f t="shared" si="158"/>
        <v>0</v>
      </c>
      <c r="J882" s="137">
        <f t="shared" si="158"/>
        <v>300000</v>
      </c>
      <c r="K882" s="137">
        <f t="shared" si="158"/>
        <v>252481</v>
      </c>
      <c r="L882" s="137">
        <f t="shared" si="158"/>
        <v>200000</v>
      </c>
      <c r="M882" s="137">
        <f t="shared" si="158"/>
        <v>100000</v>
      </c>
      <c r="N882" s="20">
        <f t="shared" si="153"/>
        <v>2005443</v>
      </c>
      <c r="O882" s="28"/>
      <c r="P882" s="76"/>
      <c r="Q882" s="69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</row>
    <row r="883" spans="1:34" s="24" customFormat="1" ht="12" customHeight="1">
      <c r="A883" s="3" t="s">
        <v>340</v>
      </c>
      <c r="B883" s="136">
        <v>100000</v>
      </c>
      <c r="C883" s="136"/>
      <c r="D883" s="136"/>
      <c r="E883" s="136"/>
      <c r="F883" s="136">
        <v>100000</v>
      </c>
      <c r="G883" s="136"/>
      <c r="H883" s="136"/>
      <c r="I883" s="136"/>
      <c r="J883" s="136">
        <v>100000</v>
      </c>
      <c r="K883" s="136"/>
      <c r="L883" s="136"/>
      <c r="M883" s="136">
        <v>100000</v>
      </c>
      <c r="N883" s="19">
        <f t="shared" si="153"/>
        <v>400000</v>
      </c>
      <c r="P883" s="76"/>
      <c r="Q883" s="69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</row>
    <row r="884" spans="1:34" s="24" customFormat="1" ht="12" customHeight="1">
      <c r="A884" s="3" t="s">
        <v>349</v>
      </c>
      <c r="B884" s="136">
        <v>200000</v>
      </c>
      <c r="C884" s="136"/>
      <c r="D884" s="136"/>
      <c r="E884" s="136"/>
      <c r="F884" s="136">
        <v>200000</v>
      </c>
      <c r="G884" s="136"/>
      <c r="H884" s="136"/>
      <c r="I884" s="136"/>
      <c r="J884" s="136">
        <v>200000</v>
      </c>
      <c r="K884" s="136"/>
      <c r="L884" s="136">
        <v>200000</v>
      </c>
      <c r="M884" s="136"/>
      <c r="N884" s="19">
        <f t="shared" si="153"/>
        <v>800000</v>
      </c>
      <c r="P884" s="76"/>
      <c r="Q884" s="69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</row>
    <row r="885" spans="1:34" s="28" customFormat="1" ht="12" customHeight="1">
      <c r="A885" s="3" t="s">
        <v>552</v>
      </c>
      <c r="B885" s="136"/>
      <c r="C885" s="136">
        <v>276481</v>
      </c>
      <c r="D885" s="136"/>
      <c r="E885" s="136"/>
      <c r="F885" s="136"/>
      <c r="G885" s="136">
        <v>276481</v>
      </c>
      <c r="H885" s="136"/>
      <c r="I885" s="136"/>
      <c r="J885" s="136"/>
      <c r="K885" s="136">
        <v>252481</v>
      </c>
      <c r="L885" s="136"/>
      <c r="M885" s="322"/>
      <c r="N885" s="19">
        <f t="shared" si="153"/>
        <v>805443</v>
      </c>
      <c r="O885" s="24"/>
      <c r="P885" s="65"/>
      <c r="Q885" s="68"/>
      <c r="R885" s="117"/>
      <c r="S885" s="117"/>
      <c r="T885" s="117"/>
      <c r="U885" s="117"/>
      <c r="V885" s="117"/>
      <c r="W885" s="117"/>
      <c r="X885" s="117"/>
      <c r="Y885" s="117"/>
      <c r="Z885" s="117"/>
      <c r="AA885" s="117"/>
      <c r="AB885" s="117"/>
      <c r="AC885" s="117"/>
      <c r="AD885" s="117"/>
      <c r="AE885" s="117"/>
      <c r="AF885" s="117"/>
      <c r="AG885" s="117"/>
      <c r="AH885" s="117"/>
    </row>
    <row r="886" spans="1:34" s="24" customFormat="1" ht="12" customHeight="1">
      <c r="A886" s="15" t="s">
        <v>543</v>
      </c>
      <c r="B886" s="137">
        <v>2000</v>
      </c>
      <c r="C886" s="137">
        <v>2000</v>
      </c>
      <c r="D886" s="137">
        <v>2000</v>
      </c>
      <c r="E886" s="137">
        <v>2000</v>
      </c>
      <c r="F886" s="137">
        <v>2000</v>
      </c>
      <c r="G886" s="137">
        <v>2000</v>
      </c>
      <c r="H886" s="137">
        <v>2000</v>
      </c>
      <c r="I886" s="137">
        <v>2000</v>
      </c>
      <c r="J886" s="137">
        <v>2000</v>
      </c>
      <c r="K886" s="137">
        <v>2000</v>
      </c>
      <c r="L886" s="137">
        <v>2000</v>
      </c>
      <c r="M886" s="137">
        <v>2000</v>
      </c>
      <c r="N886" s="20">
        <f t="shared" si="153"/>
        <v>24000</v>
      </c>
      <c r="O886" s="28"/>
      <c r="P886" s="76"/>
      <c r="Q886" s="69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</row>
    <row r="887" spans="1:34" s="24" customFormat="1" ht="11.25" customHeight="1" hidden="1">
      <c r="A887" s="3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9"/>
      <c r="P887" s="76"/>
      <c r="Q887" s="69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</row>
    <row r="888" spans="1:34" s="24" customFormat="1" ht="11.25" customHeight="1">
      <c r="A888" s="15" t="s">
        <v>580</v>
      </c>
      <c r="B888" s="137">
        <f>SUM(B889:B892)</f>
        <v>100000</v>
      </c>
      <c r="C888" s="137">
        <f aca="true" t="shared" si="159" ref="C888:M888">SUM(C889:C892)</f>
        <v>100000</v>
      </c>
      <c r="D888" s="137">
        <f t="shared" si="159"/>
        <v>100000</v>
      </c>
      <c r="E888" s="137">
        <f t="shared" si="159"/>
        <v>100000</v>
      </c>
      <c r="F888" s="137">
        <f t="shared" si="159"/>
        <v>100000</v>
      </c>
      <c r="G888" s="137">
        <f t="shared" si="159"/>
        <v>100000</v>
      </c>
      <c r="H888" s="137">
        <f t="shared" si="159"/>
        <v>100000</v>
      </c>
      <c r="I888" s="137">
        <f t="shared" si="159"/>
        <v>100000</v>
      </c>
      <c r="J888" s="137">
        <f t="shared" si="159"/>
        <v>100000</v>
      </c>
      <c r="K888" s="137">
        <f t="shared" si="159"/>
        <v>100000</v>
      </c>
      <c r="L888" s="137">
        <f t="shared" si="159"/>
        <v>100000</v>
      </c>
      <c r="M888" s="137">
        <f t="shared" si="159"/>
        <v>100000</v>
      </c>
      <c r="N888" s="20">
        <f aca="true" t="shared" si="160" ref="N888:N925">SUM(B888:M888)</f>
        <v>1200000</v>
      </c>
      <c r="P888" s="76"/>
      <c r="Q888" s="69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</row>
    <row r="889" spans="1:34" s="24" customFormat="1" ht="11.25" customHeight="1" hidden="1">
      <c r="A889" s="3" t="s">
        <v>581</v>
      </c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9">
        <f t="shared" si="160"/>
        <v>0</v>
      </c>
      <c r="P889" s="76"/>
      <c r="Q889" s="69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</row>
    <row r="890" spans="1:34" s="24" customFormat="1" ht="11.25" customHeight="1" hidden="1">
      <c r="A890" s="3" t="s">
        <v>582</v>
      </c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9">
        <f t="shared" si="160"/>
        <v>0</v>
      </c>
      <c r="P890" s="76"/>
      <c r="Q890" s="69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</row>
    <row r="891" spans="1:34" s="24" customFormat="1" ht="11.25" customHeight="1">
      <c r="A891" s="3" t="s">
        <v>583</v>
      </c>
      <c r="B891" s="136">
        <v>100000</v>
      </c>
      <c r="C891" s="136">
        <v>100000</v>
      </c>
      <c r="D891" s="136">
        <v>100000</v>
      </c>
      <c r="E891" s="136">
        <v>100000</v>
      </c>
      <c r="F891" s="136">
        <v>100000</v>
      </c>
      <c r="G891" s="136">
        <v>100000</v>
      </c>
      <c r="H891" s="136">
        <v>100000</v>
      </c>
      <c r="I891" s="136">
        <v>100000</v>
      </c>
      <c r="J891" s="136">
        <v>100000</v>
      </c>
      <c r="K891" s="136">
        <v>100000</v>
      </c>
      <c r="L891" s="136">
        <v>100000</v>
      </c>
      <c r="M891" s="136">
        <v>100000</v>
      </c>
      <c r="N891" s="19">
        <f t="shared" si="160"/>
        <v>1200000</v>
      </c>
      <c r="P891" s="34"/>
      <c r="Q891" s="69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</row>
    <row r="892" spans="1:34" s="24" customFormat="1" ht="12" customHeight="1" hidden="1">
      <c r="A892" s="254" t="s">
        <v>212</v>
      </c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9">
        <f t="shared" si="160"/>
        <v>0</v>
      </c>
      <c r="P892" s="76"/>
      <c r="Q892" s="69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</row>
    <row r="893" spans="1:34" s="24" customFormat="1" ht="12" customHeight="1" hidden="1">
      <c r="A893" s="3" t="s">
        <v>277</v>
      </c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9">
        <f t="shared" si="160"/>
        <v>0</v>
      </c>
      <c r="P893" s="76"/>
      <c r="Q893" s="69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</row>
    <row r="894" spans="1:34" s="24" customFormat="1" ht="12" customHeight="1">
      <c r="A894" s="15" t="s">
        <v>149</v>
      </c>
      <c r="B894" s="137">
        <f aca="true" t="shared" si="161" ref="B894:G894">B895+B954+B914+B937+B973+B1002+B1011</f>
        <v>849363</v>
      </c>
      <c r="C894" s="137">
        <f t="shared" si="161"/>
        <v>3187363</v>
      </c>
      <c r="D894" s="137">
        <f t="shared" si="161"/>
        <v>579313</v>
      </c>
      <c r="E894" s="137">
        <f t="shared" si="161"/>
        <v>619363</v>
      </c>
      <c r="F894" s="137">
        <f t="shared" si="161"/>
        <v>787363</v>
      </c>
      <c r="G894" s="137">
        <f t="shared" si="161"/>
        <v>587363</v>
      </c>
      <c r="H894" s="137">
        <f aca="true" t="shared" si="162" ref="H894:M894">H895+H954+H914+H937+H973+H1002+H1011</f>
        <v>587363</v>
      </c>
      <c r="I894" s="137">
        <f t="shared" si="162"/>
        <v>687363</v>
      </c>
      <c r="J894" s="137">
        <f t="shared" si="162"/>
        <v>587363</v>
      </c>
      <c r="K894" s="137">
        <f t="shared" si="162"/>
        <v>587363</v>
      </c>
      <c r="L894" s="137">
        <f t="shared" si="162"/>
        <v>587363</v>
      </c>
      <c r="M894" s="137">
        <f t="shared" si="162"/>
        <v>587363</v>
      </c>
      <c r="N894" s="20">
        <f t="shared" si="160"/>
        <v>10234306</v>
      </c>
      <c r="O894" s="34">
        <f>N895+N914+N954+N973+N1002+N1011</f>
        <v>9734306</v>
      </c>
      <c r="P894" s="76"/>
      <c r="Q894" s="69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</row>
    <row r="895" spans="1:34" s="24" customFormat="1" ht="12" customHeight="1" hidden="1">
      <c r="A895" s="15" t="s">
        <v>150</v>
      </c>
      <c r="B895" s="137">
        <f>SUM(B896:B913)</f>
        <v>95000</v>
      </c>
      <c r="C895" s="137">
        <f aca="true" t="shared" si="163" ref="C895:M895">SUM(C896:C913)</f>
        <v>95000</v>
      </c>
      <c r="D895" s="137">
        <f t="shared" si="163"/>
        <v>95000</v>
      </c>
      <c r="E895" s="137">
        <f t="shared" si="163"/>
        <v>95000</v>
      </c>
      <c r="F895" s="137">
        <f t="shared" si="163"/>
        <v>95000</v>
      </c>
      <c r="G895" s="137">
        <f t="shared" si="163"/>
        <v>95000</v>
      </c>
      <c r="H895" s="137">
        <f t="shared" si="163"/>
        <v>95000</v>
      </c>
      <c r="I895" s="137">
        <f t="shared" si="163"/>
        <v>95000</v>
      </c>
      <c r="J895" s="137">
        <f t="shared" si="163"/>
        <v>95000</v>
      </c>
      <c r="K895" s="137">
        <f t="shared" si="163"/>
        <v>95000</v>
      </c>
      <c r="L895" s="137">
        <f t="shared" si="163"/>
        <v>95000</v>
      </c>
      <c r="M895" s="137">
        <f t="shared" si="163"/>
        <v>95000</v>
      </c>
      <c r="N895" s="20">
        <f t="shared" si="160"/>
        <v>1140000</v>
      </c>
      <c r="P895" s="76"/>
      <c r="Q895" s="69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</row>
    <row r="896" spans="1:34" s="24" customFormat="1" ht="12" customHeight="1" hidden="1">
      <c r="A896" s="3" t="s">
        <v>236</v>
      </c>
      <c r="B896" s="136">
        <v>95000</v>
      </c>
      <c r="C896" s="136">
        <v>95000</v>
      </c>
      <c r="D896" s="136">
        <v>95000</v>
      </c>
      <c r="E896" s="136">
        <v>95000</v>
      </c>
      <c r="F896" s="136">
        <v>95000</v>
      </c>
      <c r="G896" s="136">
        <v>95000</v>
      </c>
      <c r="H896" s="136">
        <v>95000</v>
      </c>
      <c r="I896" s="136">
        <v>95000</v>
      </c>
      <c r="J896" s="136">
        <v>95000</v>
      </c>
      <c r="K896" s="136">
        <v>95000</v>
      </c>
      <c r="L896" s="136">
        <v>95000</v>
      </c>
      <c r="M896" s="136">
        <v>95000</v>
      </c>
      <c r="N896" s="19">
        <f t="shared" si="160"/>
        <v>1140000</v>
      </c>
      <c r="P896" s="76"/>
      <c r="Q896" s="69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</row>
    <row r="897" spans="1:34" s="24" customFormat="1" ht="12" customHeight="1" hidden="1">
      <c r="A897" s="3" t="s">
        <v>237</v>
      </c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>
        <f t="shared" si="160"/>
        <v>0</v>
      </c>
      <c r="P897" s="76"/>
      <c r="Q897" s="69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</row>
    <row r="898" spans="1:34" s="24" customFormat="1" ht="12" hidden="1">
      <c r="A898" s="3" t="s">
        <v>238</v>
      </c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9">
        <f t="shared" si="160"/>
        <v>0</v>
      </c>
      <c r="P898" s="76"/>
      <c r="Q898" s="69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</row>
    <row r="899" spans="1:34" s="24" customFormat="1" ht="12" customHeight="1" hidden="1">
      <c r="A899" s="3" t="s">
        <v>239</v>
      </c>
      <c r="B899" s="136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9">
        <f t="shared" si="160"/>
        <v>0</v>
      </c>
      <c r="P899" s="76"/>
      <c r="Q899" s="69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</row>
    <row r="900" spans="1:34" s="24" customFormat="1" ht="12" customHeight="1" hidden="1">
      <c r="A900" s="3" t="s">
        <v>240</v>
      </c>
      <c r="B900" s="136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9">
        <f t="shared" si="160"/>
        <v>0</v>
      </c>
      <c r="P900" s="76"/>
      <c r="Q900" s="69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</row>
    <row r="901" spans="1:34" s="24" customFormat="1" ht="12" customHeight="1" hidden="1">
      <c r="A901" s="3" t="s">
        <v>241</v>
      </c>
      <c r="B901" s="136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9">
        <f t="shared" si="160"/>
        <v>0</v>
      </c>
      <c r="P901" s="76"/>
      <c r="Q901" s="69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</row>
    <row r="902" spans="1:34" s="24" customFormat="1" ht="12" customHeight="1" hidden="1">
      <c r="A902" s="3" t="s">
        <v>243</v>
      </c>
      <c r="B902" s="136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9">
        <f t="shared" si="160"/>
        <v>0</v>
      </c>
      <c r="P902" s="76"/>
      <c r="Q902" s="69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</row>
    <row r="903" spans="1:34" s="28" customFormat="1" ht="12" customHeight="1" hidden="1">
      <c r="A903" s="3" t="s">
        <v>244</v>
      </c>
      <c r="B903" s="136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9">
        <f t="shared" si="160"/>
        <v>0</v>
      </c>
      <c r="O903" s="24"/>
      <c r="P903" s="65">
        <f>SUM(B911:I911)</f>
        <v>0</v>
      </c>
      <c r="Q903" s="68"/>
      <c r="R903" s="117"/>
      <c r="S903" s="117">
        <f>SUM(N955:N972)</f>
        <v>120000</v>
      </c>
      <c r="T903" s="117"/>
      <c r="U903" s="117"/>
      <c r="V903" s="117"/>
      <c r="W903" s="117"/>
      <c r="X903" s="117"/>
      <c r="Y903" s="117"/>
      <c r="Z903" s="117"/>
      <c r="AA903" s="117"/>
      <c r="AB903" s="117"/>
      <c r="AC903" s="117"/>
      <c r="AD903" s="117"/>
      <c r="AE903" s="117"/>
      <c r="AF903" s="117"/>
      <c r="AG903" s="117"/>
      <c r="AH903" s="117"/>
    </row>
    <row r="904" spans="1:34" s="24" customFormat="1" ht="12" hidden="1">
      <c r="A904" s="3" t="s">
        <v>245</v>
      </c>
      <c r="B904" s="136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9">
        <f t="shared" si="160"/>
        <v>0</v>
      </c>
      <c r="O904" s="28"/>
      <c r="P904" s="76"/>
      <c r="Q904" s="69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</row>
    <row r="905" spans="1:34" s="24" customFormat="1" ht="12" customHeight="1" hidden="1">
      <c r="A905" s="3" t="s">
        <v>246</v>
      </c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9">
        <f t="shared" si="160"/>
        <v>0</v>
      </c>
      <c r="P905" s="76"/>
      <c r="Q905" s="69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</row>
    <row r="906" spans="1:34" s="24" customFormat="1" ht="12" customHeight="1" hidden="1">
      <c r="A906" s="3" t="s">
        <v>247</v>
      </c>
      <c r="B906" s="136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9">
        <f t="shared" si="160"/>
        <v>0</v>
      </c>
      <c r="P906" s="76"/>
      <c r="Q906" s="69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</row>
    <row r="907" spans="1:34" s="24" customFormat="1" ht="12" customHeight="1" hidden="1">
      <c r="A907" s="3" t="s">
        <v>248</v>
      </c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9">
        <f t="shared" si="160"/>
        <v>0</v>
      </c>
      <c r="P907" s="76"/>
      <c r="Q907" s="69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</row>
    <row r="908" spans="1:34" s="24" customFormat="1" ht="12" customHeight="1" hidden="1">
      <c r="A908" s="3" t="s">
        <v>249</v>
      </c>
      <c r="B908" s="136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9">
        <f t="shared" si="160"/>
        <v>0</v>
      </c>
      <c r="P908" s="76"/>
      <c r="Q908" s="69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</row>
    <row r="909" spans="1:34" s="24" customFormat="1" ht="12" hidden="1">
      <c r="A909" s="3" t="s">
        <v>250</v>
      </c>
      <c r="B909" s="136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9">
        <f t="shared" si="160"/>
        <v>0</v>
      </c>
      <c r="P909" s="76"/>
      <c r="Q909" s="69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</row>
    <row r="910" spans="1:34" s="24" customFormat="1" ht="12" customHeight="1" hidden="1">
      <c r="A910" s="3" t="s">
        <v>251</v>
      </c>
      <c r="B910" s="136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9">
        <f t="shared" si="160"/>
        <v>0</v>
      </c>
      <c r="P910" s="76"/>
      <c r="Q910" s="69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</row>
    <row r="911" spans="1:34" s="24" customFormat="1" ht="12" customHeight="1" hidden="1">
      <c r="A911" s="3" t="s">
        <v>252</v>
      </c>
      <c r="B911" s="306"/>
      <c r="C911" s="306"/>
      <c r="D911" s="306"/>
      <c r="E911" s="352"/>
      <c r="F911" s="306"/>
      <c r="G911" s="306"/>
      <c r="H911" s="306"/>
      <c r="I911" s="306"/>
      <c r="J911" s="306"/>
      <c r="K911" s="306"/>
      <c r="L911" s="306"/>
      <c r="M911" s="306"/>
      <c r="N911" s="19">
        <f t="shared" si="160"/>
        <v>0</v>
      </c>
      <c r="P911" s="76"/>
      <c r="Q911" s="69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</row>
    <row r="912" spans="1:34" s="24" customFormat="1" ht="12" customHeight="1" hidden="1">
      <c r="A912" s="3" t="s">
        <v>300</v>
      </c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9">
        <f t="shared" si="160"/>
        <v>0</v>
      </c>
      <c r="P912" s="76"/>
      <c r="Q912" s="69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</row>
    <row r="913" spans="1:34" s="24" customFormat="1" ht="12" customHeight="1">
      <c r="A913" s="3" t="s">
        <v>315</v>
      </c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9">
        <f t="shared" si="160"/>
        <v>0</v>
      </c>
      <c r="P913" s="76"/>
      <c r="Q913" s="69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</row>
    <row r="914" spans="1:34" s="24" customFormat="1" ht="12" customHeight="1">
      <c r="A914" s="15" t="s">
        <v>540</v>
      </c>
      <c r="B914" s="137">
        <f>SUM(B915:B936)</f>
        <v>337500</v>
      </c>
      <c r="C914" s="137">
        <f aca="true" t="shared" si="164" ref="C914:L914">SUM(C915:C936)</f>
        <v>335000</v>
      </c>
      <c r="D914" s="137">
        <f t="shared" si="164"/>
        <v>326950</v>
      </c>
      <c r="E914" s="137">
        <f t="shared" si="164"/>
        <v>335000</v>
      </c>
      <c r="F914" s="137">
        <f t="shared" si="164"/>
        <v>335000</v>
      </c>
      <c r="G914" s="137">
        <f t="shared" si="164"/>
        <v>335000</v>
      </c>
      <c r="H914" s="137">
        <f t="shared" si="164"/>
        <v>335000</v>
      </c>
      <c r="I914" s="137">
        <f t="shared" si="164"/>
        <v>335000</v>
      </c>
      <c r="J914" s="137">
        <f t="shared" si="164"/>
        <v>335000</v>
      </c>
      <c r="K914" s="137">
        <f t="shared" si="164"/>
        <v>335000</v>
      </c>
      <c r="L914" s="137">
        <f t="shared" si="164"/>
        <v>335000</v>
      </c>
      <c r="M914" s="137">
        <f>SUM(M915:M936)</f>
        <v>335000</v>
      </c>
      <c r="N914" s="20">
        <f t="shared" si="160"/>
        <v>4014450</v>
      </c>
      <c r="O914" s="34">
        <f>SUM(N915:N953)</f>
        <v>5011950</v>
      </c>
      <c r="P914" s="76"/>
      <c r="Q914" s="69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</row>
    <row r="915" spans="1:34" s="24" customFormat="1" ht="12" customHeight="1">
      <c r="A915" s="3" t="s">
        <v>236</v>
      </c>
      <c r="B915" s="136">
        <v>335000</v>
      </c>
      <c r="C915" s="136">
        <v>335000</v>
      </c>
      <c r="D915" s="136">
        <v>326950</v>
      </c>
      <c r="E915" s="136">
        <v>335000</v>
      </c>
      <c r="F915" s="136">
        <v>335000</v>
      </c>
      <c r="G915" s="136">
        <v>335000</v>
      </c>
      <c r="H915" s="136">
        <v>335000</v>
      </c>
      <c r="I915" s="136">
        <v>335000</v>
      </c>
      <c r="J915" s="136">
        <v>335000</v>
      </c>
      <c r="K915" s="136">
        <v>335000</v>
      </c>
      <c r="L915" s="136">
        <v>335000</v>
      </c>
      <c r="M915" s="136">
        <v>335000</v>
      </c>
      <c r="N915" s="19">
        <f t="shared" si="160"/>
        <v>4011950</v>
      </c>
      <c r="P915" s="76"/>
      <c r="Q915" s="69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</row>
    <row r="916" spans="1:34" s="24" customFormat="1" ht="12" customHeight="1" hidden="1">
      <c r="A916" s="3" t="s">
        <v>237</v>
      </c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9">
        <f t="shared" si="160"/>
        <v>0</v>
      </c>
      <c r="P916" s="76"/>
      <c r="Q916" s="69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</row>
    <row r="917" spans="1:34" s="24" customFormat="1" ht="12" customHeight="1" hidden="1">
      <c r="A917" s="3" t="s">
        <v>238</v>
      </c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9">
        <f t="shared" si="160"/>
        <v>0</v>
      </c>
      <c r="P917" s="76"/>
      <c r="Q917" s="69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</row>
    <row r="918" spans="1:34" s="24" customFormat="1" ht="12" hidden="1">
      <c r="A918" s="3" t="s">
        <v>602</v>
      </c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9">
        <f t="shared" si="160"/>
        <v>0</v>
      </c>
      <c r="P918" s="76"/>
      <c r="Q918" s="69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</row>
    <row r="919" spans="1:34" s="24" customFormat="1" ht="12" customHeight="1" hidden="1">
      <c r="A919" s="3" t="s">
        <v>239</v>
      </c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9">
        <f t="shared" si="160"/>
        <v>0</v>
      </c>
      <c r="P919" s="76"/>
      <c r="Q919" s="69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</row>
    <row r="920" spans="1:34" s="24" customFormat="1" ht="12" customHeight="1" hidden="1">
      <c r="A920" s="3" t="s">
        <v>240</v>
      </c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9">
        <f t="shared" si="160"/>
        <v>0</v>
      </c>
      <c r="P920" s="76"/>
      <c r="Q920" s="69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</row>
    <row r="921" spans="1:34" s="24" customFormat="1" ht="12" customHeight="1" hidden="1">
      <c r="A921" s="3" t="s">
        <v>241</v>
      </c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9">
        <f t="shared" si="160"/>
        <v>0</v>
      </c>
      <c r="P921" s="76"/>
      <c r="Q921" s="69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</row>
    <row r="922" spans="1:34" s="28" customFormat="1" ht="12" customHeight="1" hidden="1">
      <c r="A922" s="3" t="s">
        <v>243</v>
      </c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9">
        <f t="shared" si="160"/>
        <v>0</v>
      </c>
      <c r="O922" s="24"/>
      <c r="P922" s="65">
        <f>SUM(B932:I932)</f>
        <v>0</v>
      </c>
      <c r="Q922" s="68"/>
      <c r="R922" s="117"/>
      <c r="S922" s="117"/>
      <c r="T922" s="117"/>
      <c r="U922" s="117"/>
      <c r="V922" s="117"/>
      <c r="W922" s="117"/>
      <c r="X922" s="117"/>
      <c r="Y922" s="117"/>
      <c r="Z922" s="117"/>
      <c r="AA922" s="117"/>
      <c r="AB922" s="117"/>
      <c r="AC922" s="117"/>
      <c r="AD922" s="117"/>
      <c r="AE922" s="117"/>
      <c r="AF922" s="117"/>
      <c r="AG922" s="117"/>
      <c r="AH922" s="117"/>
    </row>
    <row r="923" spans="1:34" s="24" customFormat="1" ht="12" hidden="1">
      <c r="A923" s="3" t="s">
        <v>244</v>
      </c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9">
        <f t="shared" si="160"/>
        <v>0</v>
      </c>
      <c r="O923" s="28"/>
      <c r="P923" s="76"/>
      <c r="Q923" s="69"/>
      <c r="R923" s="75"/>
      <c r="S923" s="75">
        <f>SUM(N974:N999)</f>
        <v>4183856</v>
      </c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</row>
    <row r="924" spans="1:34" s="24" customFormat="1" ht="12" customHeight="1" hidden="1">
      <c r="A924" s="3" t="s">
        <v>245</v>
      </c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9">
        <f t="shared" si="160"/>
        <v>0</v>
      </c>
      <c r="P924" s="76"/>
      <c r="Q924" s="69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</row>
    <row r="925" spans="1:34" s="24" customFormat="1" ht="12" customHeight="1" hidden="1">
      <c r="A925" s="15" t="s">
        <v>246</v>
      </c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9">
        <f t="shared" si="160"/>
        <v>0</v>
      </c>
      <c r="P925" s="76"/>
      <c r="Q925" s="69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</row>
    <row r="926" spans="1:34" s="24" customFormat="1" ht="12" customHeight="1" hidden="1">
      <c r="A926" s="3" t="s">
        <v>720</v>
      </c>
      <c r="B926" s="136">
        <f>500*5</f>
        <v>2500</v>
      </c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9"/>
      <c r="P926" s="76"/>
      <c r="Q926" s="69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</row>
    <row r="927" spans="1:34" s="24" customFormat="1" ht="12" customHeight="1" hidden="1">
      <c r="A927" s="3" t="s">
        <v>247</v>
      </c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9">
        <f aca="true" t="shared" si="165" ref="N927:N958">SUM(B927:M927)</f>
        <v>0</v>
      </c>
      <c r="P927" s="76"/>
      <c r="Q927" s="69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</row>
    <row r="928" spans="1:34" s="24" customFormat="1" ht="12" customHeight="1" hidden="1">
      <c r="A928" s="3" t="s">
        <v>615</v>
      </c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9">
        <f t="shared" si="165"/>
        <v>0</v>
      </c>
      <c r="P928" s="76"/>
      <c r="Q928" s="69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</row>
    <row r="929" spans="1:34" s="24" customFormat="1" ht="12" customHeight="1" hidden="1">
      <c r="A929" s="3" t="s">
        <v>299</v>
      </c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9">
        <f t="shared" si="165"/>
        <v>0</v>
      </c>
      <c r="P929" s="76"/>
      <c r="Q929" s="69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</row>
    <row r="930" spans="1:34" s="24" customFormat="1" ht="12" customHeight="1" hidden="1">
      <c r="A930" s="3" t="s">
        <v>249</v>
      </c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9">
        <f t="shared" si="165"/>
        <v>0</v>
      </c>
      <c r="P930" s="76"/>
      <c r="Q930" s="69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</row>
    <row r="931" spans="1:34" s="24" customFormat="1" ht="12" customHeight="1" hidden="1">
      <c r="A931" s="3" t="s">
        <v>250</v>
      </c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9">
        <f t="shared" si="165"/>
        <v>0</v>
      </c>
      <c r="P931" s="76"/>
      <c r="Q931" s="69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</row>
    <row r="932" spans="1:34" s="24" customFormat="1" ht="12" hidden="1">
      <c r="A932" s="3" t="s">
        <v>252</v>
      </c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9">
        <f t="shared" si="165"/>
        <v>0</v>
      </c>
      <c r="P932" s="76"/>
      <c r="Q932" s="69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</row>
    <row r="933" spans="1:34" s="24" customFormat="1" ht="12" customHeight="1" hidden="1">
      <c r="A933" s="3" t="s">
        <v>297</v>
      </c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9">
        <f t="shared" si="165"/>
        <v>0</v>
      </c>
      <c r="P933" s="76"/>
      <c r="Q933" s="69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</row>
    <row r="934" spans="1:34" s="24" customFormat="1" ht="12" customHeight="1" hidden="1">
      <c r="A934" s="3" t="s">
        <v>604</v>
      </c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9">
        <f t="shared" si="165"/>
        <v>0</v>
      </c>
      <c r="P934" s="76"/>
      <c r="Q934" s="69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</row>
    <row r="935" spans="1:34" s="24" customFormat="1" ht="12" customHeight="1" hidden="1">
      <c r="A935" s="3" t="s">
        <v>873</v>
      </c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9">
        <f t="shared" si="165"/>
        <v>0</v>
      </c>
      <c r="P935" s="76"/>
      <c r="Q935" s="69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</row>
    <row r="936" spans="1:34" s="24" customFormat="1" ht="12" customHeight="1" hidden="1">
      <c r="A936" s="3" t="s">
        <v>874</v>
      </c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9">
        <f t="shared" si="165"/>
        <v>0</v>
      </c>
      <c r="P936" s="76"/>
      <c r="Q936" s="69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</row>
    <row r="937" spans="1:34" s="24" customFormat="1" ht="12" customHeight="1" hidden="1">
      <c r="A937" s="15" t="s">
        <v>810</v>
      </c>
      <c r="B937" s="137">
        <f>SUM(B938:B953)</f>
        <v>0</v>
      </c>
      <c r="C937" s="137">
        <f aca="true" t="shared" si="166" ref="C937:M937">SUM(C938:C953)</f>
        <v>200000</v>
      </c>
      <c r="D937" s="137">
        <f t="shared" si="166"/>
        <v>0</v>
      </c>
      <c r="E937" s="137">
        <f t="shared" si="166"/>
        <v>0</v>
      </c>
      <c r="F937" s="137">
        <f t="shared" si="166"/>
        <v>200000</v>
      </c>
      <c r="G937" s="137">
        <f t="shared" si="166"/>
        <v>0</v>
      </c>
      <c r="H937" s="137">
        <f t="shared" si="166"/>
        <v>0</v>
      </c>
      <c r="I937" s="137">
        <f t="shared" si="166"/>
        <v>100000</v>
      </c>
      <c r="J937" s="137">
        <f t="shared" si="166"/>
        <v>0</v>
      </c>
      <c r="K937" s="137">
        <f t="shared" si="166"/>
        <v>0</v>
      </c>
      <c r="L937" s="137">
        <f t="shared" si="166"/>
        <v>0</v>
      </c>
      <c r="M937" s="137">
        <f t="shared" si="166"/>
        <v>0</v>
      </c>
      <c r="N937" s="20">
        <f t="shared" si="165"/>
        <v>500000</v>
      </c>
      <c r="P937" s="76"/>
      <c r="Q937" s="69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</row>
    <row r="938" spans="1:34" s="24" customFormat="1" ht="12" customHeight="1" hidden="1">
      <c r="A938" s="3" t="s">
        <v>236</v>
      </c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20">
        <f t="shared" si="165"/>
        <v>0</v>
      </c>
      <c r="P938" s="76"/>
      <c r="Q938" s="69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</row>
    <row r="939" spans="1:34" s="24" customFormat="1" ht="12" hidden="1">
      <c r="A939" s="3" t="s">
        <v>237</v>
      </c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20">
        <f t="shared" si="165"/>
        <v>0</v>
      </c>
      <c r="P939" s="76"/>
      <c r="Q939" s="69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</row>
    <row r="940" spans="1:34" s="24" customFormat="1" ht="12" customHeight="1" hidden="1">
      <c r="A940" s="3" t="s">
        <v>238</v>
      </c>
      <c r="B940" s="136"/>
      <c r="C940" s="136">
        <v>200000</v>
      </c>
      <c r="D940" s="136"/>
      <c r="E940" s="136"/>
      <c r="F940" s="136">
        <v>200000</v>
      </c>
      <c r="G940" s="136"/>
      <c r="H940" s="136"/>
      <c r="I940" s="136">
        <v>100000</v>
      </c>
      <c r="J940" s="136"/>
      <c r="K940" s="136"/>
      <c r="L940" s="136"/>
      <c r="M940" s="136"/>
      <c r="N940" s="20">
        <f t="shared" si="165"/>
        <v>500000</v>
      </c>
      <c r="P940" s="76"/>
      <c r="Q940" s="69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</row>
    <row r="941" spans="1:34" s="24" customFormat="1" ht="12" customHeight="1" hidden="1">
      <c r="A941" s="3" t="s">
        <v>240</v>
      </c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20">
        <f t="shared" si="165"/>
        <v>0</v>
      </c>
      <c r="P941" s="76"/>
      <c r="Q941" s="69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</row>
    <row r="942" spans="1:34" s="24" customFormat="1" ht="12" customHeight="1" hidden="1">
      <c r="A942" s="3" t="s">
        <v>241</v>
      </c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20">
        <f t="shared" si="165"/>
        <v>0</v>
      </c>
      <c r="P942" s="76"/>
      <c r="Q942" s="69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</row>
    <row r="943" spans="1:34" s="28" customFormat="1" ht="12" customHeight="1" hidden="1">
      <c r="A943" s="3" t="s">
        <v>243</v>
      </c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20">
        <f t="shared" si="165"/>
        <v>0</v>
      </c>
      <c r="O943" s="24"/>
      <c r="P943" s="65">
        <f>SUM(B951:I951)</f>
        <v>0</v>
      </c>
      <c r="Q943" s="68"/>
      <c r="R943" s="117"/>
      <c r="S943" s="117">
        <f>SUM(N1003:N1029)</f>
        <v>272000</v>
      </c>
      <c r="T943" s="117"/>
      <c r="U943" s="117"/>
      <c r="V943" s="117"/>
      <c r="W943" s="117"/>
      <c r="X943" s="117"/>
      <c r="Y943" s="117"/>
      <c r="Z943" s="117"/>
      <c r="AA943" s="117"/>
      <c r="AB943" s="117"/>
      <c r="AC943" s="117"/>
      <c r="AD943" s="117"/>
      <c r="AE943" s="117"/>
      <c r="AF943" s="117"/>
      <c r="AG943" s="117"/>
      <c r="AH943" s="117"/>
    </row>
    <row r="944" spans="1:34" s="24" customFormat="1" ht="12" hidden="1">
      <c r="A944" s="3" t="s">
        <v>244</v>
      </c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20">
        <f t="shared" si="165"/>
        <v>0</v>
      </c>
      <c r="O944" s="28"/>
      <c r="P944" s="76"/>
      <c r="Q944" s="69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</row>
    <row r="945" spans="1:34" s="24" customFormat="1" ht="12" customHeight="1" hidden="1">
      <c r="A945" s="3" t="s">
        <v>245</v>
      </c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20">
        <f t="shared" si="165"/>
        <v>0</v>
      </c>
      <c r="P945" s="76"/>
      <c r="Q945" s="69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</row>
    <row r="946" spans="1:34" s="24" customFormat="1" ht="12" customHeight="1" hidden="1">
      <c r="A946" s="3" t="s">
        <v>246</v>
      </c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20">
        <f t="shared" si="165"/>
        <v>0</v>
      </c>
      <c r="P946" s="76"/>
      <c r="Q946" s="69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</row>
    <row r="947" spans="1:34" s="24" customFormat="1" ht="12" customHeight="1" hidden="1">
      <c r="A947" s="3" t="s">
        <v>247</v>
      </c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20">
        <f t="shared" si="165"/>
        <v>0</v>
      </c>
      <c r="P947" s="76"/>
      <c r="Q947" s="69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</row>
    <row r="948" spans="1:34" s="24" customFormat="1" ht="12" customHeight="1" hidden="1">
      <c r="A948" s="3" t="s">
        <v>337</v>
      </c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20">
        <f t="shared" si="165"/>
        <v>0</v>
      </c>
      <c r="P948" s="76"/>
      <c r="Q948" s="69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</row>
    <row r="949" spans="1:34" s="24" customFormat="1" ht="12" customHeight="1" hidden="1">
      <c r="A949" s="3" t="s">
        <v>249</v>
      </c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20">
        <f t="shared" si="165"/>
        <v>0</v>
      </c>
      <c r="P949" s="76"/>
      <c r="Q949" s="69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</row>
    <row r="950" spans="1:34" s="24" customFormat="1" ht="12" hidden="1">
      <c r="A950" s="3" t="s">
        <v>250</v>
      </c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20">
        <f t="shared" si="165"/>
        <v>0</v>
      </c>
      <c r="P950" s="76"/>
      <c r="Q950" s="69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</row>
    <row r="951" spans="1:34" s="24" customFormat="1" ht="12" customHeight="1" hidden="1">
      <c r="A951" s="3" t="s">
        <v>252</v>
      </c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20">
        <f t="shared" si="165"/>
        <v>0</v>
      </c>
      <c r="P951" s="76"/>
      <c r="Q951" s="69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</row>
    <row r="952" spans="1:34" s="24" customFormat="1" ht="12" customHeight="1" hidden="1">
      <c r="A952" s="3" t="s">
        <v>305</v>
      </c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20">
        <f t="shared" si="165"/>
        <v>0</v>
      </c>
      <c r="P952" s="76"/>
      <c r="Q952" s="69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</row>
    <row r="953" spans="1:34" s="24" customFormat="1" ht="12" customHeight="1" hidden="1">
      <c r="A953" s="3" t="s">
        <v>327</v>
      </c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20">
        <f t="shared" si="165"/>
        <v>0</v>
      </c>
      <c r="P953" s="76"/>
      <c r="Q953" s="69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</row>
    <row r="954" spans="1:34" s="24" customFormat="1" ht="12" customHeight="1">
      <c r="A954" s="15" t="s">
        <v>151</v>
      </c>
      <c r="B954" s="137">
        <f>SUM(B955:B972)</f>
        <v>10000</v>
      </c>
      <c r="C954" s="137">
        <f aca="true" t="shared" si="167" ref="C954:M954">SUM(C955:C972)</f>
        <v>10000</v>
      </c>
      <c r="D954" s="137">
        <f t="shared" si="167"/>
        <v>10000</v>
      </c>
      <c r="E954" s="137">
        <f t="shared" si="167"/>
        <v>10000</v>
      </c>
      <c r="F954" s="137">
        <f t="shared" si="167"/>
        <v>10000</v>
      </c>
      <c r="G954" s="137">
        <f t="shared" si="167"/>
        <v>10000</v>
      </c>
      <c r="H954" s="137">
        <f t="shared" si="167"/>
        <v>10000</v>
      </c>
      <c r="I954" s="137">
        <f t="shared" si="167"/>
        <v>10000</v>
      </c>
      <c r="J954" s="137">
        <f t="shared" si="167"/>
        <v>10000</v>
      </c>
      <c r="K954" s="137">
        <f t="shared" si="167"/>
        <v>10000</v>
      </c>
      <c r="L954" s="137">
        <f t="shared" si="167"/>
        <v>10000</v>
      </c>
      <c r="M954" s="137">
        <f t="shared" si="167"/>
        <v>10000</v>
      </c>
      <c r="N954" s="20">
        <f t="shared" si="165"/>
        <v>120000</v>
      </c>
      <c r="P954" s="76"/>
      <c r="Q954" s="69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</row>
    <row r="955" spans="1:34" s="24" customFormat="1" ht="12" customHeight="1">
      <c r="A955" s="3" t="s">
        <v>236</v>
      </c>
      <c r="B955" s="136">
        <v>7952.5</v>
      </c>
      <c r="C955" s="136">
        <v>7952.5</v>
      </c>
      <c r="D955" s="136">
        <v>7952.5</v>
      </c>
      <c r="E955" s="136">
        <v>7952.5</v>
      </c>
      <c r="F955" s="136">
        <v>7952.5</v>
      </c>
      <c r="G955" s="136">
        <v>7952.5</v>
      </c>
      <c r="H955" s="136">
        <v>7952.5</v>
      </c>
      <c r="I955" s="136">
        <v>7952.5</v>
      </c>
      <c r="J955" s="136">
        <v>7952.5</v>
      </c>
      <c r="K955" s="136">
        <v>7952.5</v>
      </c>
      <c r="L955" s="136">
        <v>7952.5</v>
      </c>
      <c r="M955" s="136">
        <v>7952.5</v>
      </c>
      <c r="N955" s="19">
        <f t="shared" si="165"/>
        <v>95430</v>
      </c>
      <c r="P955" s="76"/>
      <c r="Q955" s="69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</row>
    <row r="956" spans="1:34" s="24" customFormat="1" ht="12" customHeight="1" hidden="1">
      <c r="A956" s="3" t="s">
        <v>237</v>
      </c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9">
        <f t="shared" si="165"/>
        <v>0</v>
      </c>
      <c r="P956" s="76"/>
      <c r="Q956" s="69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</row>
    <row r="957" spans="1:34" s="24" customFormat="1" ht="12" customHeight="1" hidden="1">
      <c r="A957" s="3" t="s">
        <v>238</v>
      </c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9">
        <f t="shared" si="165"/>
        <v>0</v>
      </c>
      <c r="P957" s="76"/>
      <c r="Q957" s="69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</row>
    <row r="958" spans="1:34" s="24" customFormat="1" ht="12" hidden="1">
      <c r="A958" s="3" t="s">
        <v>239</v>
      </c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9">
        <f t="shared" si="165"/>
        <v>0</v>
      </c>
      <c r="P958" s="76"/>
      <c r="Q958" s="69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</row>
    <row r="959" spans="1:34" s="24" customFormat="1" ht="12" customHeight="1" hidden="1">
      <c r="A959" s="3" t="s">
        <v>240</v>
      </c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9">
        <f aca="true" t="shared" si="168" ref="N959:N990">SUM(B959:M959)</f>
        <v>0</v>
      </c>
      <c r="P959" s="76"/>
      <c r="Q959" s="69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</row>
    <row r="960" spans="1:34" s="24" customFormat="1" ht="12" customHeight="1" hidden="1">
      <c r="A960" s="3" t="s">
        <v>241</v>
      </c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9">
        <f t="shared" si="168"/>
        <v>0</v>
      </c>
      <c r="P960" s="76"/>
      <c r="Q960" s="69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</row>
    <row r="961" spans="1:34" s="24" customFormat="1" ht="12" customHeight="1" hidden="1">
      <c r="A961" s="3" t="s">
        <v>242</v>
      </c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9">
        <f t="shared" si="168"/>
        <v>0</v>
      </c>
      <c r="P961" s="76"/>
      <c r="Q961" s="69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</row>
    <row r="962" spans="1:34" s="28" customFormat="1" ht="12" customHeight="1" hidden="1">
      <c r="A962" s="3" t="s">
        <v>243</v>
      </c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9">
        <f t="shared" si="168"/>
        <v>0</v>
      </c>
      <c r="O962" s="24"/>
      <c r="P962" s="65">
        <f>SUM(B970:I970)</f>
        <v>0</v>
      </c>
      <c r="Q962" s="68"/>
      <c r="R962" s="117"/>
      <c r="S962" s="117">
        <f>SUM(N915:N934)</f>
        <v>4011950</v>
      </c>
      <c r="T962" s="117"/>
      <c r="U962" s="117"/>
      <c r="V962" s="117"/>
      <c r="W962" s="117"/>
      <c r="X962" s="117"/>
      <c r="Y962" s="117"/>
      <c r="Z962" s="117"/>
      <c r="AA962" s="117"/>
      <c r="AB962" s="117"/>
      <c r="AC962" s="117"/>
      <c r="AD962" s="117"/>
      <c r="AE962" s="117"/>
      <c r="AF962" s="117"/>
      <c r="AG962" s="117"/>
      <c r="AH962" s="117"/>
    </row>
    <row r="963" spans="1:34" s="24" customFormat="1" ht="12" hidden="1">
      <c r="A963" s="3" t="s">
        <v>244</v>
      </c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9">
        <f t="shared" si="168"/>
        <v>0</v>
      </c>
      <c r="O963" s="28"/>
      <c r="P963" s="76"/>
      <c r="Q963" s="69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</row>
    <row r="964" spans="1:34" s="24" customFormat="1" ht="12" customHeight="1" hidden="1">
      <c r="A964" s="3" t="s">
        <v>245</v>
      </c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9">
        <f t="shared" si="168"/>
        <v>0</v>
      </c>
      <c r="P964" s="76"/>
      <c r="Q964" s="69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</row>
    <row r="965" spans="1:34" s="24" customFormat="1" ht="12" customHeight="1" hidden="1">
      <c r="A965" s="3" t="s">
        <v>246</v>
      </c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9">
        <f t="shared" si="168"/>
        <v>0</v>
      </c>
      <c r="P965" s="76"/>
      <c r="Q965" s="69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</row>
    <row r="966" spans="1:34" s="24" customFormat="1" ht="12" customHeight="1" hidden="1">
      <c r="A966" s="3" t="s">
        <v>247</v>
      </c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9">
        <f t="shared" si="168"/>
        <v>0</v>
      </c>
      <c r="P966" s="76"/>
      <c r="Q966" s="69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</row>
    <row r="967" spans="1:34" s="24" customFormat="1" ht="12" customHeight="1" hidden="1">
      <c r="A967" s="3" t="s">
        <v>248</v>
      </c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9">
        <f t="shared" si="168"/>
        <v>0</v>
      </c>
      <c r="P967" s="76"/>
      <c r="Q967" s="69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</row>
    <row r="968" spans="1:34" s="24" customFormat="1" ht="12" hidden="1">
      <c r="A968" s="3" t="s">
        <v>249</v>
      </c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9">
        <f t="shared" si="168"/>
        <v>0</v>
      </c>
      <c r="P968" s="76"/>
      <c r="Q968" s="69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</row>
    <row r="969" spans="1:34" s="24" customFormat="1" ht="12" customHeight="1" hidden="1">
      <c r="A969" s="3" t="s">
        <v>250</v>
      </c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9">
        <f t="shared" si="168"/>
        <v>0</v>
      </c>
      <c r="P969" s="76"/>
      <c r="Q969" s="69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</row>
    <row r="970" spans="1:34" s="24" customFormat="1" ht="12" customHeight="1" hidden="1">
      <c r="A970" s="3" t="s">
        <v>251</v>
      </c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9">
        <f t="shared" si="168"/>
        <v>0</v>
      </c>
      <c r="P970" s="76"/>
      <c r="Q970" s="69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</row>
    <row r="971" spans="1:34" s="24" customFormat="1" ht="12" customHeight="1" hidden="1">
      <c r="A971" s="3" t="s">
        <v>252</v>
      </c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9">
        <f t="shared" si="168"/>
        <v>0</v>
      </c>
      <c r="P971" s="76"/>
      <c r="Q971" s="69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</row>
    <row r="972" spans="1:34" s="24" customFormat="1" ht="12" customHeight="1">
      <c r="A972" s="3" t="s">
        <v>327</v>
      </c>
      <c r="B972" s="136">
        <v>2047.5</v>
      </c>
      <c r="C972" s="136">
        <v>2047.5</v>
      </c>
      <c r="D972" s="136">
        <v>2047.5</v>
      </c>
      <c r="E972" s="136">
        <v>2047.5</v>
      </c>
      <c r="F972" s="136">
        <v>2047.5</v>
      </c>
      <c r="G972" s="136">
        <v>2047.5</v>
      </c>
      <c r="H972" s="136">
        <v>2047.5</v>
      </c>
      <c r="I972" s="136">
        <v>2047.5</v>
      </c>
      <c r="J972" s="136">
        <v>2047.5</v>
      </c>
      <c r="K972" s="136">
        <v>2047.5</v>
      </c>
      <c r="L972" s="136">
        <v>2047.5</v>
      </c>
      <c r="M972" s="136">
        <v>2047.5</v>
      </c>
      <c r="N972" s="19">
        <f t="shared" si="168"/>
        <v>24570</v>
      </c>
      <c r="P972" s="76"/>
      <c r="Q972" s="69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</row>
    <row r="973" spans="1:34" s="24" customFormat="1" ht="12" customHeight="1">
      <c r="A973" s="15" t="s">
        <v>152</v>
      </c>
      <c r="B973" s="137">
        <f>B974+B975+B977+B976+B978+B979+B980+B981+B982+B983+B984+B985+B986+B987+B988+B989+B990+B992+B993+B994+B995+B996+B997+B998+B999+B1001</f>
        <v>382863</v>
      </c>
      <c r="C973" s="137">
        <f aca="true" t="shared" si="169" ref="C973:M973">C974+C975+C977+C976+C978+C979+C980+C981+C982+C983+C984+C985+C986+C987+C988+C989+C990+C992+C993+C994+C995+C996+C997+C998+C999+C1001</f>
        <v>2527363</v>
      </c>
      <c r="D973" s="137">
        <f t="shared" si="169"/>
        <v>127363</v>
      </c>
      <c r="E973" s="137">
        <f t="shared" si="169"/>
        <v>127363</v>
      </c>
      <c r="F973" s="137">
        <f t="shared" si="169"/>
        <v>127363</v>
      </c>
      <c r="G973" s="137">
        <f t="shared" si="169"/>
        <v>127363</v>
      </c>
      <c r="H973" s="137">
        <f t="shared" si="169"/>
        <v>127363</v>
      </c>
      <c r="I973" s="137">
        <f t="shared" si="169"/>
        <v>127363</v>
      </c>
      <c r="J973" s="137">
        <f t="shared" si="169"/>
        <v>127363</v>
      </c>
      <c r="K973" s="137">
        <f t="shared" si="169"/>
        <v>127363</v>
      </c>
      <c r="L973" s="137">
        <f t="shared" si="169"/>
        <v>127363</v>
      </c>
      <c r="M973" s="137">
        <f t="shared" si="169"/>
        <v>127363</v>
      </c>
      <c r="N973" s="20">
        <f t="shared" si="168"/>
        <v>4183856</v>
      </c>
      <c r="P973" s="76"/>
      <c r="Q973" s="69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</row>
    <row r="974" spans="1:34" s="24" customFormat="1" ht="12" customHeight="1" hidden="1">
      <c r="A974" s="3" t="s">
        <v>236</v>
      </c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9">
        <f t="shared" si="168"/>
        <v>0</v>
      </c>
      <c r="P974" s="76"/>
      <c r="Q974" s="69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</row>
    <row r="975" spans="1:34" s="24" customFormat="1" ht="12" customHeight="1" hidden="1">
      <c r="A975" s="3" t="s">
        <v>237</v>
      </c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9">
        <f t="shared" si="168"/>
        <v>0</v>
      </c>
      <c r="P975" s="76"/>
      <c r="Q975" s="69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</row>
    <row r="976" spans="1:34" s="24" customFormat="1" ht="12" customHeight="1">
      <c r="A976" s="3" t="s">
        <v>238</v>
      </c>
      <c r="B976" s="306">
        <v>68428</v>
      </c>
      <c r="C976" s="306">
        <v>68428</v>
      </c>
      <c r="D976" s="306">
        <v>68428</v>
      </c>
      <c r="E976" s="306">
        <v>68428</v>
      </c>
      <c r="F976" s="306">
        <v>68428</v>
      </c>
      <c r="G976" s="306">
        <v>68428</v>
      </c>
      <c r="H976" s="306">
        <v>68428</v>
      </c>
      <c r="I976" s="306">
        <v>68428</v>
      </c>
      <c r="J976" s="306">
        <v>68428</v>
      </c>
      <c r="K976" s="306">
        <v>68428</v>
      </c>
      <c r="L976" s="306">
        <v>68428</v>
      </c>
      <c r="M976" s="306">
        <v>68428</v>
      </c>
      <c r="N976" s="19">
        <f t="shared" si="168"/>
        <v>821136</v>
      </c>
      <c r="P976" s="76"/>
      <c r="Q976" s="69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</row>
    <row r="977" spans="1:34" s="24" customFormat="1" ht="12" customHeight="1">
      <c r="A977" s="3" t="s">
        <v>457</v>
      </c>
      <c r="B977" s="136">
        <v>32000</v>
      </c>
      <c r="C977" s="136">
        <v>32000</v>
      </c>
      <c r="D977" s="136">
        <v>32000</v>
      </c>
      <c r="E977" s="136">
        <v>32000</v>
      </c>
      <c r="F977" s="136">
        <v>32000</v>
      </c>
      <c r="G977" s="136">
        <v>32000</v>
      </c>
      <c r="H977" s="136">
        <v>32000</v>
      </c>
      <c r="I977" s="136">
        <v>32000</v>
      </c>
      <c r="J977" s="136">
        <v>32000</v>
      </c>
      <c r="K977" s="136">
        <v>32000</v>
      </c>
      <c r="L977" s="136">
        <v>32000</v>
      </c>
      <c r="M977" s="136">
        <v>32000</v>
      </c>
      <c r="N977" s="19">
        <f t="shared" si="168"/>
        <v>384000</v>
      </c>
      <c r="P977" s="76"/>
      <c r="Q977" s="69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</row>
    <row r="978" spans="1:34" s="24" customFormat="1" ht="12" customHeight="1">
      <c r="A978" s="3" t="s">
        <v>972</v>
      </c>
      <c r="B978" s="136">
        <v>2500</v>
      </c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9">
        <f t="shared" si="168"/>
        <v>2500</v>
      </c>
      <c r="P978" s="76"/>
      <c r="Q978" s="69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</row>
    <row r="979" spans="1:34" s="24" customFormat="1" ht="12" customHeight="1" hidden="1">
      <c r="A979" s="3" t="s">
        <v>551</v>
      </c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9">
        <f t="shared" si="168"/>
        <v>0</v>
      </c>
      <c r="P979" s="76"/>
      <c r="Q979" s="69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</row>
    <row r="980" spans="1:34" s="24" customFormat="1" ht="12" hidden="1">
      <c r="A980" s="3" t="s">
        <v>239</v>
      </c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9">
        <f t="shared" si="168"/>
        <v>0</v>
      </c>
      <c r="P980" s="76"/>
      <c r="Q980" s="69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</row>
    <row r="981" spans="1:34" s="24" customFormat="1" ht="12" customHeight="1" hidden="1">
      <c r="A981" s="3" t="s">
        <v>240</v>
      </c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9">
        <f t="shared" si="168"/>
        <v>0</v>
      </c>
      <c r="P981" s="76"/>
      <c r="Q981" s="69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</row>
    <row r="982" spans="1:34" s="24" customFormat="1" ht="12" customHeight="1" hidden="1">
      <c r="A982" s="3" t="s">
        <v>241</v>
      </c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9">
        <f t="shared" si="168"/>
        <v>0</v>
      </c>
      <c r="P982" s="76"/>
      <c r="Q982" s="69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</row>
    <row r="983" spans="1:34" s="24" customFormat="1" ht="12" customHeight="1" hidden="1">
      <c r="A983" s="3" t="s">
        <v>242</v>
      </c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9">
        <f t="shared" si="168"/>
        <v>0</v>
      </c>
      <c r="P983" s="76"/>
      <c r="Q983" s="69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</row>
    <row r="984" spans="1:34" s="24" customFormat="1" ht="12" customHeight="1" hidden="1">
      <c r="A984" s="3" t="s">
        <v>243</v>
      </c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9">
        <f t="shared" si="168"/>
        <v>0</v>
      </c>
      <c r="P984" s="76"/>
      <c r="Q984" s="69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</row>
    <row r="985" spans="1:34" s="28" customFormat="1" ht="12" customHeight="1" hidden="1">
      <c r="A985" s="3" t="s">
        <v>244</v>
      </c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9">
        <f t="shared" si="168"/>
        <v>0</v>
      </c>
      <c r="O985" s="24"/>
      <c r="P985" s="65">
        <f>SUM(B994:I994)</f>
        <v>2400000</v>
      </c>
      <c r="Q985" s="68"/>
      <c r="R985" s="117"/>
      <c r="S985" s="117">
        <f>SUM(N938:N953)</f>
        <v>500000</v>
      </c>
      <c r="T985" s="117"/>
      <c r="U985" s="117"/>
      <c r="V985" s="117"/>
      <c r="W985" s="117"/>
      <c r="X985" s="117"/>
      <c r="Y985" s="117"/>
      <c r="Z985" s="117"/>
      <c r="AA985" s="117"/>
      <c r="AB985" s="117"/>
      <c r="AC985" s="117"/>
      <c r="AD985" s="117"/>
      <c r="AE985" s="117"/>
      <c r="AF985" s="117"/>
      <c r="AG985" s="117"/>
      <c r="AH985" s="117"/>
    </row>
    <row r="986" spans="1:34" s="24" customFormat="1" ht="12" hidden="1">
      <c r="A986" s="3" t="s">
        <v>245</v>
      </c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9">
        <f t="shared" si="168"/>
        <v>0</v>
      </c>
      <c r="O986" s="28"/>
      <c r="P986" s="76"/>
      <c r="Q986" s="69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</row>
    <row r="987" spans="1:34" s="24" customFormat="1" ht="12" customHeight="1" hidden="1">
      <c r="A987" s="3" t="s">
        <v>246</v>
      </c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9">
        <f t="shared" si="168"/>
        <v>0</v>
      </c>
      <c r="P987" s="76"/>
      <c r="Q987" s="69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</row>
    <row r="988" spans="1:34" s="24" customFormat="1" ht="12" customHeight="1" hidden="1">
      <c r="A988" s="3" t="s">
        <v>247</v>
      </c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9">
        <f t="shared" si="168"/>
        <v>0</v>
      </c>
      <c r="P988" s="76"/>
      <c r="Q988" s="69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</row>
    <row r="989" spans="1:34" s="24" customFormat="1" ht="12" customHeight="1" hidden="1">
      <c r="A989" s="3" t="s">
        <v>248</v>
      </c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9">
        <f t="shared" si="168"/>
        <v>0</v>
      </c>
      <c r="P989" s="76"/>
      <c r="Q989" s="69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</row>
    <row r="990" spans="1:34" s="24" customFormat="1" ht="12" customHeight="1" hidden="1">
      <c r="A990" s="3" t="s">
        <v>249</v>
      </c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9">
        <f t="shared" si="168"/>
        <v>0</v>
      </c>
      <c r="P990" s="76"/>
      <c r="Q990" s="69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</row>
    <row r="991" spans="1:34" s="24" customFormat="1" ht="12" hidden="1">
      <c r="A991" s="3" t="s">
        <v>612</v>
      </c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9">
        <f aca="true" t="shared" si="170" ref="N991:N1004">SUM(B991:M991)</f>
        <v>0</v>
      </c>
      <c r="P991" s="76"/>
      <c r="Q991" s="69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</row>
    <row r="992" spans="1:34" s="24" customFormat="1" ht="12" customHeight="1" hidden="1">
      <c r="A992" s="3" t="s">
        <v>250</v>
      </c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9">
        <f t="shared" si="170"/>
        <v>0</v>
      </c>
      <c r="P992" s="76"/>
      <c r="Q992" s="69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</row>
    <row r="993" spans="1:34" s="24" customFormat="1" ht="12" customHeight="1" hidden="1">
      <c r="A993" s="3" t="s">
        <v>251</v>
      </c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9">
        <f t="shared" si="170"/>
        <v>0</v>
      </c>
      <c r="P993" s="76"/>
      <c r="Q993" s="69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</row>
    <row r="994" spans="1:34" s="24" customFormat="1" ht="12" customHeight="1">
      <c r="A994" s="3" t="s">
        <v>646</v>
      </c>
      <c r="B994" s="136"/>
      <c r="C994" s="136">
        <v>2400000</v>
      </c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9">
        <f t="shared" si="170"/>
        <v>2400000</v>
      </c>
      <c r="P994" s="76"/>
      <c r="Q994" s="69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</row>
    <row r="995" spans="1:34" s="24" customFormat="1" ht="12" customHeight="1">
      <c r="A995" s="3" t="s">
        <v>957</v>
      </c>
      <c r="B995" s="136">
        <f>7000*24</f>
        <v>168000</v>
      </c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9">
        <f t="shared" si="170"/>
        <v>168000</v>
      </c>
      <c r="P995" s="76"/>
      <c r="Q995" s="69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</row>
    <row r="996" spans="1:34" s="24" customFormat="1" ht="12" customHeight="1">
      <c r="A996" s="3" t="s">
        <v>958</v>
      </c>
      <c r="B996" s="136">
        <f>5000*8</f>
        <v>40000</v>
      </c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9">
        <f t="shared" si="170"/>
        <v>40000</v>
      </c>
      <c r="P996" s="76"/>
      <c r="Q996" s="69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</row>
    <row r="997" spans="1:34" s="24" customFormat="1" ht="12" customHeight="1">
      <c r="A997" s="3" t="s">
        <v>959</v>
      </c>
      <c r="B997" s="136">
        <f>15000*3</f>
        <v>45000</v>
      </c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9">
        <f t="shared" si="170"/>
        <v>45000</v>
      </c>
      <c r="P997" s="76"/>
      <c r="Q997" s="69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</row>
    <row r="998" spans="1:34" s="24" customFormat="1" ht="12" customHeight="1" hidden="1">
      <c r="A998" s="3" t="s">
        <v>343</v>
      </c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9">
        <f t="shared" si="170"/>
        <v>0</v>
      </c>
      <c r="P998" s="76"/>
      <c r="Q998" s="69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</row>
    <row r="999" spans="1:34" s="24" customFormat="1" ht="12" customHeight="1">
      <c r="A999" s="3" t="s">
        <v>975</v>
      </c>
      <c r="B999" s="158">
        <v>26935</v>
      </c>
      <c r="C999" s="158">
        <v>26935</v>
      </c>
      <c r="D999" s="158">
        <v>26935</v>
      </c>
      <c r="E999" s="158">
        <v>26935</v>
      </c>
      <c r="F999" s="158">
        <v>26935</v>
      </c>
      <c r="G999" s="158">
        <v>26935</v>
      </c>
      <c r="H999" s="158">
        <v>26935</v>
      </c>
      <c r="I999" s="158">
        <v>26935</v>
      </c>
      <c r="J999" s="158">
        <v>26935</v>
      </c>
      <c r="K999" s="158">
        <v>26935</v>
      </c>
      <c r="L999" s="158">
        <v>26935</v>
      </c>
      <c r="M999" s="158">
        <v>26935</v>
      </c>
      <c r="N999" s="19">
        <f t="shared" si="170"/>
        <v>323220</v>
      </c>
      <c r="P999" s="76"/>
      <c r="Q999" s="69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</row>
    <row r="1000" spans="1:34" s="24" customFormat="1" ht="12" customHeight="1" hidden="1">
      <c r="A1000" s="3" t="s">
        <v>648</v>
      </c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9">
        <f t="shared" si="170"/>
        <v>0</v>
      </c>
      <c r="P1000" s="76"/>
      <c r="Q1000" s="69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</row>
    <row r="1001" spans="1:34" s="24" customFormat="1" ht="12" customHeight="1" hidden="1">
      <c r="A1001" s="3" t="s">
        <v>603</v>
      </c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9">
        <f t="shared" si="170"/>
        <v>0</v>
      </c>
      <c r="P1001" s="76"/>
      <c r="Q1001" s="69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</row>
    <row r="1002" spans="1:34" s="24" customFormat="1" ht="12" customHeight="1" hidden="1">
      <c r="A1002" s="15" t="s">
        <v>153</v>
      </c>
      <c r="B1002" s="137">
        <f>SUM(B1003:B1010)</f>
        <v>24000</v>
      </c>
      <c r="C1002" s="137">
        <f aca="true" t="shared" si="171" ref="C1002:M1002">SUM(C1003:C1010)</f>
        <v>20000</v>
      </c>
      <c r="D1002" s="137">
        <f t="shared" si="171"/>
        <v>20000</v>
      </c>
      <c r="E1002" s="137">
        <f t="shared" si="171"/>
        <v>52000</v>
      </c>
      <c r="F1002" s="137">
        <f t="shared" si="171"/>
        <v>20000</v>
      </c>
      <c r="G1002" s="137">
        <f t="shared" si="171"/>
        <v>20000</v>
      </c>
      <c r="H1002" s="137">
        <f t="shared" si="171"/>
        <v>20000</v>
      </c>
      <c r="I1002" s="137">
        <f t="shared" si="171"/>
        <v>20000</v>
      </c>
      <c r="J1002" s="137">
        <f t="shared" si="171"/>
        <v>20000</v>
      </c>
      <c r="K1002" s="137">
        <f t="shared" si="171"/>
        <v>20000</v>
      </c>
      <c r="L1002" s="137">
        <f t="shared" si="171"/>
        <v>20000</v>
      </c>
      <c r="M1002" s="137">
        <f t="shared" si="171"/>
        <v>20000</v>
      </c>
      <c r="N1002" s="20">
        <f t="shared" si="170"/>
        <v>276000</v>
      </c>
      <c r="O1002" s="34">
        <f>SUM(N1003:N1010)</f>
        <v>272000</v>
      </c>
      <c r="P1002" s="76"/>
      <c r="Q1002" s="69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  <c r="AB1002" s="75"/>
      <c r="AC1002" s="75"/>
      <c r="AD1002" s="75"/>
      <c r="AE1002" s="75"/>
      <c r="AF1002" s="75"/>
      <c r="AG1002" s="75"/>
      <c r="AH1002" s="75"/>
    </row>
    <row r="1003" spans="1:34" s="24" customFormat="1" ht="12" customHeight="1" hidden="1">
      <c r="A1003" s="3" t="s">
        <v>236</v>
      </c>
      <c r="B1003" s="136">
        <v>20000</v>
      </c>
      <c r="C1003" s="136">
        <v>20000</v>
      </c>
      <c r="D1003" s="136">
        <v>20000</v>
      </c>
      <c r="E1003" s="136">
        <v>20000</v>
      </c>
      <c r="F1003" s="136">
        <v>20000</v>
      </c>
      <c r="G1003" s="136">
        <v>20000</v>
      </c>
      <c r="H1003" s="136">
        <v>20000</v>
      </c>
      <c r="I1003" s="136">
        <v>20000</v>
      </c>
      <c r="J1003" s="136">
        <v>20000</v>
      </c>
      <c r="K1003" s="136">
        <v>20000</v>
      </c>
      <c r="L1003" s="136">
        <v>20000</v>
      </c>
      <c r="M1003" s="136">
        <v>20000</v>
      </c>
      <c r="N1003" s="19">
        <f t="shared" si="170"/>
        <v>240000</v>
      </c>
      <c r="P1003" s="76"/>
      <c r="Q1003" s="69"/>
      <c r="R1003" s="75"/>
      <c r="S1003" s="75"/>
      <c r="T1003" s="75"/>
      <c r="U1003" s="75"/>
      <c r="V1003" s="75"/>
      <c r="W1003" s="75"/>
      <c r="X1003" s="75"/>
      <c r="Y1003" s="75"/>
      <c r="Z1003" s="75"/>
      <c r="AA1003" s="75"/>
      <c r="AB1003" s="75"/>
      <c r="AC1003" s="75"/>
      <c r="AD1003" s="75"/>
      <c r="AE1003" s="75"/>
      <c r="AF1003" s="75"/>
      <c r="AG1003" s="75"/>
      <c r="AH1003" s="75"/>
    </row>
    <row r="1004" spans="1:34" s="24" customFormat="1" ht="12" customHeight="1" hidden="1">
      <c r="A1004" s="3" t="s">
        <v>743</v>
      </c>
      <c r="B1004" s="136"/>
      <c r="C1004" s="136"/>
      <c r="D1004" s="136"/>
      <c r="E1004" s="136">
        <f>40*800</f>
        <v>32000</v>
      </c>
      <c r="F1004" s="136"/>
      <c r="G1004" s="136"/>
      <c r="H1004" s="136"/>
      <c r="I1004" s="136"/>
      <c r="J1004" s="136"/>
      <c r="K1004" s="136"/>
      <c r="L1004" s="136"/>
      <c r="M1004" s="136"/>
      <c r="N1004" s="19">
        <f t="shared" si="170"/>
        <v>32000</v>
      </c>
      <c r="P1004" s="76"/>
      <c r="Q1004" s="69"/>
      <c r="R1004" s="75"/>
      <c r="S1004" s="75"/>
      <c r="T1004" s="75"/>
      <c r="U1004" s="75"/>
      <c r="V1004" s="75"/>
      <c r="W1004" s="75"/>
      <c r="X1004" s="75"/>
      <c r="Y1004" s="75"/>
      <c r="Z1004" s="75"/>
      <c r="AA1004" s="75"/>
      <c r="AB1004" s="75"/>
      <c r="AC1004" s="75"/>
      <c r="AD1004" s="75"/>
      <c r="AE1004" s="75"/>
      <c r="AF1004" s="75"/>
      <c r="AG1004" s="75"/>
      <c r="AH1004" s="75"/>
    </row>
    <row r="1005" spans="1:34" s="24" customFormat="1" ht="12" customHeight="1" hidden="1">
      <c r="A1005" s="3" t="s">
        <v>758</v>
      </c>
      <c r="B1005" s="136">
        <f>2*2000</f>
        <v>4000</v>
      </c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9"/>
      <c r="P1005" s="76"/>
      <c r="Q1005" s="69"/>
      <c r="R1005" s="75"/>
      <c r="S1005" s="75"/>
      <c r="T1005" s="75"/>
      <c r="U1005" s="75"/>
      <c r="V1005" s="75"/>
      <c r="W1005" s="75"/>
      <c r="X1005" s="75"/>
      <c r="Y1005" s="75"/>
      <c r="Z1005" s="75"/>
      <c r="AA1005" s="75"/>
      <c r="AB1005" s="75"/>
      <c r="AC1005" s="75"/>
      <c r="AD1005" s="75"/>
      <c r="AE1005" s="75"/>
      <c r="AF1005" s="75"/>
      <c r="AG1005" s="75"/>
      <c r="AH1005" s="75"/>
    </row>
    <row r="1006" spans="1:34" s="24" customFormat="1" ht="12" customHeight="1" hidden="1">
      <c r="A1006" s="3" t="s">
        <v>611</v>
      </c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9">
        <f aca="true" t="shared" si="172" ref="N1006:N1031">SUM(B1006:M1006)</f>
        <v>0</v>
      </c>
      <c r="P1006" s="76"/>
      <c r="Q1006" s="69"/>
      <c r="R1006" s="75"/>
      <c r="S1006" s="75"/>
      <c r="T1006" s="75"/>
      <c r="U1006" s="75"/>
      <c r="V1006" s="75"/>
      <c r="W1006" s="75"/>
      <c r="X1006" s="75"/>
      <c r="Y1006" s="75"/>
      <c r="Z1006" s="75"/>
      <c r="AA1006" s="75"/>
      <c r="AB1006" s="75"/>
      <c r="AC1006" s="75"/>
      <c r="AD1006" s="75"/>
      <c r="AE1006" s="75"/>
      <c r="AF1006" s="75"/>
      <c r="AG1006" s="75"/>
      <c r="AH1006" s="75"/>
    </row>
    <row r="1007" spans="1:34" s="24" customFormat="1" ht="12" customHeight="1" hidden="1">
      <c r="A1007" s="3" t="s">
        <v>237</v>
      </c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9">
        <f t="shared" si="172"/>
        <v>0</v>
      </c>
      <c r="P1007" s="76"/>
      <c r="Q1007" s="69"/>
      <c r="R1007" s="75"/>
      <c r="S1007" s="75"/>
      <c r="T1007" s="75"/>
      <c r="U1007" s="75"/>
      <c r="V1007" s="75"/>
      <c r="W1007" s="75"/>
      <c r="X1007" s="75"/>
      <c r="Y1007" s="75"/>
      <c r="Z1007" s="75"/>
      <c r="AA1007" s="75"/>
      <c r="AB1007" s="75"/>
      <c r="AC1007" s="75"/>
      <c r="AD1007" s="75"/>
      <c r="AE1007" s="75"/>
      <c r="AF1007" s="75"/>
      <c r="AG1007" s="75"/>
      <c r="AH1007" s="75"/>
    </row>
    <row r="1008" spans="1:34" s="24" customFormat="1" ht="12" customHeight="1" hidden="1">
      <c r="A1008" s="3" t="s">
        <v>647</v>
      </c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9">
        <f t="shared" si="172"/>
        <v>0</v>
      </c>
      <c r="P1008" s="76"/>
      <c r="Q1008" s="69"/>
      <c r="R1008" s="75"/>
      <c r="S1008" s="75"/>
      <c r="T1008" s="75"/>
      <c r="U1008" s="75"/>
      <c r="V1008" s="75"/>
      <c r="W1008" s="75"/>
      <c r="X1008" s="75"/>
      <c r="Y1008" s="75"/>
      <c r="Z1008" s="75"/>
      <c r="AA1008" s="75"/>
      <c r="AB1008" s="75"/>
      <c r="AC1008" s="75"/>
      <c r="AD1008" s="75"/>
      <c r="AE1008" s="75"/>
      <c r="AF1008" s="75"/>
      <c r="AG1008" s="75"/>
      <c r="AH1008" s="75"/>
    </row>
    <row r="1009" spans="1:34" s="24" customFormat="1" ht="12" customHeight="1" hidden="1">
      <c r="A1009" s="3" t="s">
        <v>468</v>
      </c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9">
        <f t="shared" si="172"/>
        <v>0</v>
      </c>
      <c r="P1009" s="76"/>
      <c r="Q1009" s="69"/>
      <c r="R1009" s="75"/>
      <c r="S1009" s="75"/>
      <c r="T1009" s="75"/>
      <c r="U1009" s="75"/>
      <c r="V1009" s="75"/>
      <c r="W1009" s="75"/>
      <c r="X1009" s="75"/>
      <c r="Y1009" s="75"/>
      <c r="Z1009" s="75"/>
      <c r="AA1009" s="75"/>
      <c r="AB1009" s="75"/>
      <c r="AC1009" s="75"/>
      <c r="AD1009" s="75"/>
      <c r="AE1009" s="75"/>
      <c r="AF1009" s="75"/>
      <c r="AG1009" s="75"/>
      <c r="AH1009" s="75"/>
    </row>
    <row r="1010" spans="1:34" s="28" customFormat="1" ht="12" customHeight="1" hidden="1">
      <c r="A1010" s="3" t="s">
        <v>238</v>
      </c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9">
        <f t="shared" si="172"/>
        <v>0</v>
      </c>
      <c r="O1010" s="24"/>
      <c r="P1010" s="65"/>
      <c r="Q1010" s="68"/>
      <c r="R1010" s="117"/>
      <c r="S1010" s="117"/>
      <c r="T1010" s="117"/>
      <c r="U1010" s="117"/>
      <c r="V1010" s="117"/>
      <c r="W1010" s="117"/>
      <c r="X1010" s="117"/>
      <c r="Y1010" s="117"/>
      <c r="Z1010" s="117"/>
      <c r="AA1010" s="117"/>
      <c r="AB1010" s="117"/>
      <c r="AC1010" s="117"/>
      <c r="AD1010" s="117"/>
      <c r="AE1010" s="117"/>
      <c r="AF1010" s="117"/>
      <c r="AG1010" s="117"/>
      <c r="AH1010" s="117"/>
    </row>
    <row r="1011" spans="1:34" s="24" customFormat="1" ht="12" customHeight="1" hidden="1">
      <c r="A1011" s="15" t="s">
        <v>545</v>
      </c>
      <c r="B1011" s="137"/>
      <c r="C1011" s="137"/>
      <c r="D1011" s="137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20">
        <f t="shared" si="172"/>
        <v>0</v>
      </c>
      <c r="O1011" s="28"/>
      <c r="P1011" s="76"/>
      <c r="Q1011" s="69"/>
      <c r="R1011" s="75"/>
      <c r="S1011" s="75"/>
      <c r="T1011" s="75"/>
      <c r="U1011" s="75"/>
      <c r="V1011" s="75"/>
      <c r="W1011" s="75"/>
      <c r="X1011" s="75"/>
      <c r="Y1011" s="75"/>
      <c r="Z1011" s="75"/>
      <c r="AA1011" s="75"/>
      <c r="AB1011" s="75"/>
      <c r="AC1011" s="75"/>
      <c r="AD1011" s="75"/>
      <c r="AE1011" s="75"/>
      <c r="AF1011" s="75"/>
      <c r="AG1011" s="75"/>
      <c r="AH1011" s="75"/>
    </row>
    <row r="1012" spans="1:34" s="24" customFormat="1" ht="12" customHeight="1" hidden="1">
      <c r="A1012" s="15" t="s">
        <v>547</v>
      </c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9">
        <f t="shared" si="172"/>
        <v>0</v>
      </c>
      <c r="P1012" s="76"/>
      <c r="Q1012" s="69"/>
      <c r="R1012" s="75"/>
      <c r="S1012" s="75"/>
      <c r="T1012" s="75"/>
      <c r="U1012" s="75"/>
      <c r="V1012" s="75"/>
      <c r="W1012" s="75"/>
      <c r="X1012" s="75"/>
      <c r="Y1012" s="75"/>
      <c r="Z1012" s="75"/>
      <c r="AA1012" s="75"/>
      <c r="AB1012" s="75"/>
      <c r="AC1012" s="75"/>
      <c r="AD1012" s="75"/>
      <c r="AE1012" s="75"/>
      <c r="AF1012" s="75"/>
      <c r="AG1012" s="75"/>
      <c r="AH1012" s="75"/>
    </row>
    <row r="1013" spans="1:34" s="24" customFormat="1" ht="12" customHeight="1" hidden="1">
      <c r="A1013" s="15" t="s">
        <v>550</v>
      </c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  <c r="M1013" s="136"/>
      <c r="N1013" s="19">
        <f t="shared" si="172"/>
        <v>0</v>
      </c>
      <c r="P1013" s="76"/>
      <c r="Q1013" s="69"/>
      <c r="R1013" s="75"/>
      <c r="S1013" s="75"/>
      <c r="T1013" s="75"/>
      <c r="U1013" s="75"/>
      <c r="V1013" s="75"/>
      <c r="W1013" s="75"/>
      <c r="X1013" s="75"/>
      <c r="Y1013" s="75"/>
      <c r="Z1013" s="75"/>
      <c r="AA1013" s="75"/>
      <c r="AB1013" s="75"/>
      <c r="AC1013" s="75"/>
      <c r="AD1013" s="75"/>
      <c r="AE1013" s="75"/>
      <c r="AF1013" s="75"/>
      <c r="AG1013" s="75"/>
      <c r="AH1013" s="75"/>
    </row>
    <row r="1014" spans="1:34" s="24" customFormat="1" ht="12" hidden="1">
      <c r="A1014" s="3" t="s">
        <v>240</v>
      </c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  <c r="M1014" s="136"/>
      <c r="N1014" s="19">
        <f t="shared" si="172"/>
        <v>0</v>
      </c>
      <c r="P1014" s="76"/>
      <c r="Q1014" s="69"/>
      <c r="R1014" s="75"/>
      <c r="S1014" s="75"/>
      <c r="T1014" s="75"/>
      <c r="U1014" s="75"/>
      <c r="V1014" s="75"/>
      <c r="W1014" s="75"/>
      <c r="X1014" s="75"/>
      <c r="Y1014" s="75"/>
      <c r="Z1014" s="75"/>
      <c r="AA1014" s="75"/>
      <c r="AB1014" s="75"/>
      <c r="AC1014" s="75"/>
      <c r="AD1014" s="75"/>
      <c r="AE1014" s="75"/>
      <c r="AF1014" s="75"/>
      <c r="AG1014" s="75"/>
      <c r="AH1014" s="75"/>
    </row>
    <row r="1015" spans="1:34" s="24" customFormat="1" ht="12" customHeight="1" hidden="1">
      <c r="A1015" s="3" t="s">
        <v>241</v>
      </c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9">
        <f t="shared" si="172"/>
        <v>0</v>
      </c>
      <c r="P1015" s="76"/>
      <c r="Q1015" s="69"/>
      <c r="R1015" s="75"/>
      <c r="S1015" s="75"/>
      <c r="T1015" s="75"/>
      <c r="U1015" s="75"/>
      <c r="V1015" s="75"/>
      <c r="W1015" s="75"/>
      <c r="X1015" s="75"/>
      <c r="Y1015" s="75"/>
      <c r="Z1015" s="75"/>
      <c r="AA1015" s="75"/>
      <c r="AB1015" s="75"/>
      <c r="AC1015" s="75"/>
      <c r="AD1015" s="75"/>
      <c r="AE1015" s="75"/>
      <c r="AF1015" s="75"/>
      <c r="AG1015" s="75"/>
      <c r="AH1015" s="75"/>
    </row>
    <row r="1016" spans="1:34" s="24" customFormat="1" ht="12" customHeight="1" hidden="1">
      <c r="A1016" s="3" t="s">
        <v>243</v>
      </c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  <c r="M1016" s="136"/>
      <c r="N1016" s="19">
        <f t="shared" si="172"/>
        <v>0</v>
      </c>
      <c r="P1016" s="76"/>
      <c r="Q1016" s="69"/>
      <c r="R1016" s="75"/>
      <c r="S1016" s="75"/>
      <c r="T1016" s="75"/>
      <c r="U1016" s="75"/>
      <c r="V1016" s="75"/>
      <c r="W1016" s="75"/>
      <c r="X1016" s="75"/>
      <c r="Y1016" s="75"/>
      <c r="Z1016" s="75"/>
      <c r="AA1016" s="75"/>
      <c r="AB1016" s="75"/>
      <c r="AC1016" s="75"/>
      <c r="AD1016" s="75"/>
      <c r="AE1016" s="75"/>
      <c r="AF1016" s="75"/>
      <c r="AG1016" s="75"/>
      <c r="AH1016" s="75"/>
    </row>
    <row r="1017" spans="1:34" s="28" customFormat="1" ht="12" customHeight="1" hidden="1">
      <c r="A1017" s="3" t="s">
        <v>244</v>
      </c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  <c r="M1017" s="136"/>
      <c r="N1017" s="19">
        <f t="shared" si="172"/>
        <v>0</v>
      </c>
      <c r="O1017" s="24"/>
      <c r="P1017" s="65">
        <f aca="true" t="shared" si="173" ref="P1017:P1023">SUM(B1025:I1025)</f>
        <v>0</v>
      </c>
      <c r="Q1017" s="68"/>
      <c r="R1017" s="117"/>
      <c r="S1017" s="117"/>
      <c r="T1017" s="117"/>
      <c r="U1017" s="117"/>
      <c r="V1017" s="117"/>
      <c r="W1017" s="117"/>
      <c r="X1017" s="117"/>
      <c r="Y1017" s="117"/>
      <c r="Z1017" s="117"/>
      <c r="AA1017" s="117"/>
      <c r="AB1017" s="117"/>
      <c r="AC1017" s="117"/>
      <c r="AD1017" s="117"/>
      <c r="AE1017" s="117"/>
      <c r="AF1017" s="117"/>
      <c r="AG1017" s="117"/>
      <c r="AH1017" s="117"/>
    </row>
    <row r="1018" spans="1:34" s="24" customFormat="1" ht="12" customHeight="1" hidden="1">
      <c r="A1018" s="3" t="s">
        <v>245</v>
      </c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  <c r="M1018" s="136"/>
      <c r="N1018" s="19">
        <f t="shared" si="172"/>
        <v>0</v>
      </c>
      <c r="O1018" s="28"/>
      <c r="P1018" s="76">
        <f t="shared" si="173"/>
        <v>0</v>
      </c>
      <c r="Q1018" s="69"/>
      <c r="R1018" s="75"/>
      <c r="S1018" s="75"/>
      <c r="T1018" s="75"/>
      <c r="U1018" s="75"/>
      <c r="V1018" s="75"/>
      <c r="W1018" s="75"/>
      <c r="X1018" s="75"/>
      <c r="Y1018" s="75"/>
      <c r="Z1018" s="75"/>
      <c r="AA1018" s="75"/>
      <c r="AB1018" s="75"/>
      <c r="AC1018" s="75"/>
      <c r="AD1018" s="75"/>
      <c r="AE1018" s="75"/>
      <c r="AF1018" s="75"/>
      <c r="AG1018" s="75"/>
      <c r="AH1018" s="75"/>
    </row>
    <row r="1019" spans="1:34" s="28" customFormat="1" ht="12" customHeight="1" hidden="1">
      <c r="A1019" s="3" t="s">
        <v>246</v>
      </c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  <c r="M1019" s="136"/>
      <c r="N1019" s="19">
        <f t="shared" si="172"/>
        <v>0</v>
      </c>
      <c r="O1019" s="24"/>
      <c r="P1019" s="76">
        <f t="shared" si="173"/>
        <v>0</v>
      </c>
      <c r="Q1019" s="68"/>
      <c r="R1019" s="117"/>
      <c r="S1019" s="117"/>
      <c r="T1019" s="117"/>
      <c r="U1019" s="117"/>
      <c r="V1019" s="117"/>
      <c r="W1019" s="117"/>
      <c r="X1019" s="117"/>
      <c r="Y1019" s="117"/>
      <c r="Z1019" s="117"/>
      <c r="AA1019" s="117"/>
      <c r="AB1019" s="117"/>
      <c r="AC1019" s="117"/>
      <c r="AD1019" s="117"/>
      <c r="AE1019" s="117"/>
      <c r="AF1019" s="117"/>
      <c r="AG1019" s="117"/>
      <c r="AH1019" s="117"/>
    </row>
    <row r="1020" spans="1:34" s="24" customFormat="1" ht="12" customHeight="1" hidden="1">
      <c r="A1020" s="3" t="s">
        <v>247</v>
      </c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  <c r="M1020" s="136"/>
      <c r="N1020" s="19">
        <f t="shared" si="172"/>
        <v>0</v>
      </c>
      <c r="O1020" s="28"/>
      <c r="P1020" s="76">
        <f t="shared" si="173"/>
        <v>0</v>
      </c>
      <c r="Q1020" s="69"/>
      <c r="R1020" s="75"/>
      <c r="S1020" s="75"/>
      <c r="T1020" s="75"/>
      <c r="U1020" s="75"/>
      <c r="V1020" s="75"/>
      <c r="W1020" s="75"/>
      <c r="X1020" s="75"/>
      <c r="Y1020" s="75"/>
      <c r="Z1020" s="75"/>
      <c r="AA1020" s="75"/>
      <c r="AB1020" s="75"/>
      <c r="AC1020" s="75"/>
      <c r="AD1020" s="75"/>
      <c r="AE1020" s="75"/>
      <c r="AF1020" s="75"/>
      <c r="AG1020" s="75"/>
      <c r="AH1020" s="75"/>
    </row>
    <row r="1021" spans="1:34" s="24" customFormat="1" ht="12" customHeight="1" hidden="1">
      <c r="A1021" s="3" t="s">
        <v>299</v>
      </c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  <c r="M1021" s="136"/>
      <c r="N1021" s="19">
        <f t="shared" si="172"/>
        <v>0</v>
      </c>
      <c r="P1021" s="76">
        <f t="shared" si="173"/>
        <v>0</v>
      </c>
      <c r="Q1021" s="69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  <c r="AC1021" s="75"/>
      <c r="AD1021" s="75"/>
      <c r="AE1021" s="75"/>
      <c r="AF1021" s="75"/>
      <c r="AG1021" s="75"/>
      <c r="AH1021" s="75"/>
    </row>
    <row r="1022" spans="1:34" s="28" customFormat="1" ht="12" customHeight="1" hidden="1">
      <c r="A1022" s="3" t="s">
        <v>249</v>
      </c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  <c r="M1022" s="136"/>
      <c r="N1022" s="19">
        <f t="shared" si="172"/>
        <v>0</v>
      </c>
      <c r="O1022" s="24"/>
      <c r="P1022" s="100">
        <f t="shared" si="173"/>
        <v>0</v>
      </c>
      <c r="Q1022" s="101">
        <f>N1033/N39</f>
        <v>0.2928494567000823</v>
      </c>
      <c r="R1022" s="105">
        <f>SUM(B1030:M1030)</f>
        <v>0</v>
      </c>
      <c r="S1022" s="105" t="e">
        <f>S1023+S374+S1030+S1032+S1039+S1043+S1048+#REF!+S1073</f>
        <v>#REF!</v>
      </c>
      <c r="T1022" s="105" t="e">
        <f>S1022-N1033</f>
        <v>#REF!</v>
      </c>
      <c r="U1022" s="105"/>
      <c r="V1022" s="105"/>
      <c r="W1022" s="105"/>
      <c r="X1022" s="105"/>
      <c r="Y1022" s="105"/>
      <c r="Z1022" s="105"/>
      <c r="AA1022" s="105"/>
      <c r="AB1022" s="105"/>
      <c r="AC1022" s="105"/>
      <c r="AD1022" s="105"/>
      <c r="AE1022" s="105"/>
      <c r="AF1022" s="105"/>
      <c r="AG1022" s="105"/>
      <c r="AH1022" s="117">
        <f>SUM(B1030:M1030)</f>
        <v>0</v>
      </c>
    </row>
    <row r="1023" spans="1:34" s="28" customFormat="1" ht="12" customHeight="1" hidden="1">
      <c r="A1023" s="3" t="s">
        <v>250</v>
      </c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  <c r="M1023" s="136"/>
      <c r="N1023" s="19">
        <f t="shared" si="172"/>
        <v>0</v>
      </c>
      <c r="O1023" s="99">
        <f>SUM(B1030:M1030)</f>
        <v>0</v>
      </c>
      <c r="P1023" s="76">
        <f t="shared" si="173"/>
        <v>0</v>
      </c>
      <c r="Q1023" s="68"/>
      <c r="R1023" s="117"/>
      <c r="S1023" s="117">
        <f>SUM(N372:N374)</f>
        <v>97537685.76</v>
      </c>
      <c r="T1023" s="117"/>
      <c r="U1023" s="117"/>
      <c r="V1023" s="117"/>
      <c r="W1023" s="117"/>
      <c r="X1023" s="117"/>
      <c r="Y1023" s="117"/>
      <c r="Z1023" s="117"/>
      <c r="AA1023" s="117"/>
      <c r="AB1023" s="117"/>
      <c r="AC1023" s="117"/>
      <c r="AD1023" s="117"/>
      <c r="AE1023" s="117"/>
      <c r="AF1023" s="117"/>
      <c r="AG1023" s="117"/>
      <c r="AH1023" s="117"/>
    </row>
    <row r="1024" spans="1:34" s="24" customFormat="1" ht="12" hidden="1">
      <c r="A1024" s="3" t="s">
        <v>252</v>
      </c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  <c r="M1024" s="136"/>
      <c r="N1024" s="19">
        <f t="shared" si="172"/>
        <v>0</v>
      </c>
      <c r="O1024" s="66">
        <f>SUM(B1031:M1031)</f>
        <v>0</v>
      </c>
      <c r="P1024" s="76">
        <f>SUM(B373:I373)</f>
        <v>32684721.039999995</v>
      </c>
      <c r="Q1024" s="69"/>
      <c r="R1024" s="75"/>
      <c r="S1024" s="75"/>
      <c r="T1024" s="75"/>
      <c r="U1024" s="75"/>
      <c r="V1024" s="75"/>
      <c r="W1024" s="75"/>
      <c r="X1024" s="75"/>
      <c r="Y1024" s="75"/>
      <c r="Z1024" s="75"/>
      <c r="AA1024" s="75"/>
      <c r="AB1024" s="75"/>
      <c r="AC1024" s="75"/>
      <c r="AD1024" s="75"/>
      <c r="AE1024" s="75"/>
      <c r="AF1024" s="75"/>
      <c r="AG1024" s="75"/>
      <c r="AH1024" s="75"/>
    </row>
    <row r="1025" spans="1:34" s="24" customFormat="1" ht="12" hidden="1">
      <c r="A1025" s="3" t="s">
        <v>305</v>
      </c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  <c r="M1025" s="136"/>
      <c r="N1025" s="19">
        <f t="shared" si="172"/>
        <v>0</v>
      </c>
      <c r="O1025" s="66">
        <f>SUM(B373:M373)</f>
        <v>49027081.56</v>
      </c>
      <c r="P1025" s="76"/>
      <c r="Q1025" s="69"/>
      <c r="R1025" s="75"/>
      <c r="S1025" s="75"/>
      <c r="T1025" s="75"/>
      <c r="U1025" s="75"/>
      <c r="V1025" s="75"/>
      <c r="W1025" s="75"/>
      <c r="X1025" s="75"/>
      <c r="Y1025" s="75"/>
      <c r="Z1025" s="75"/>
      <c r="AA1025" s="75"/>
      <c r="AB1025" s="75"/>
      <c r="AC1025" s="75"/>
      <c r="AD1025" s="75"/>
      <c r="AE1025" s="75"/>
      <c r="AF1025" s="75"/>
      <c r="AG1025" s="75"/>
      <c r="AH1025" s="75"/>
    </row>
    <row r="1026" spans="1:34" s="24" customFormat="1" ht="12" hidden="1">
      <c r="A1026" s="3" t="s">
        <v>327</v>
      </c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  <c r="M1026" s="136"/>
      <c r="N1026" s="19">
        <f t="shared" si="172"/>
        <v>0</v>
      </c>
      <c r="O1026" s="66"/>
      <c r="P1026" s="76"/>
      <c r="Q1026" s="69"/>
      <c r="R1026" s="75"/>
      <c r="S1026" s="75"/>
      <c r="T1026" s="75"/>
      <c r="U1026" s="75"/>
      <c r="V1026" s="75"/>
      <c r="W1026" s="75"/>
      <c r="X1026" s="75"/>
      <c r="Y1026" s="75"/>
      <c r="Z1026" s="75"/>
      <c r="AA1026" s="75"/>
      <c r="AB1026" s="75"/>
      <c r="AC1026" s="75"/>
      <c r="AD1026" s="75"/>
      <c r="AE1026" s="75"/>
      <c r="AF1026" s="75"/>
      <c r="AG1026" s="75"/>
      <c r="AH1026" s="75"/>
    </row>
    <row r="1027" spans="1:34" s="24" customFormat="1" ht="12" customHeight="1" hidden="1">
      <c r="A1027" s="3" t="s">
        <v>325</v>
      </c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  <c r="M1027" s="136"/>
      <c r="N1027" s="19">
        <f t="shared" si="172"/>
        <v>0</v>
      </c>
      <c r="O1027" s="66"/>
      <c r="P1027" s="76">
        <f>SUM(B1035:I1035)</f>
        <v>0</v>
      </c>
      <c r="Q1027" s="69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  <c r="AB1027" s="75"/>
      <c r="AC1027" s="75"/>
      <c r="AD1027" s="75"/>
      <c r="AE1027" s="75"/>
      <c r="AF1027" s="75"/>
      <c r="AG1027" s="75"/>
      <c r="AH1027" s="75"/>
    </row>
    <row r="1028" spans="1:34" s="233" customFormat="1" ht="12" customHeight="1" hidden="1">
      <c r="A1028" s="15" t="s">
        <v>195</v>
      </c>
      <c r="B1028" s="137">
        <f aca="true" t="shared" si="174" ref="B1028:M1028">SUM(B1029)</f>
        <v>0</v>
      </c>
      <c r="C1028" s="16">
        <f t="shared" si="174"/>
        <v>0</v>
      </c>
      <c r="D1028" s="16">
        <f t="shared" si="174"/>
        <v>0</v>
      </c>
      <c r="E1028" s="16">
        <f t="shared" si="174"/>
        <v>0</v>
      </c>
      <c r="F1028" s="16">
        <f t="shared" si="174"/>
        <v>0</v>
      </c>
      <c r="G1028" s="16">
        <f t="shared" si="174"/>
        <v>0</v>
      </c>
      <c r="H1028" s="16">
        <f t="shared" si="174"/>
        <v>0</v>
      </c>
      <c r="I1028" s="16">
        <f t="shared" si="174"/>
        <v>0</v>
      </c>
      <c r="J1028" s="16">
        <f t="shared" si="174"/>
        <v>0</v>
      </c>
      <c r="K1028" s="16">
        <f t="shared" si="174"/>
        <v>0</v>
      </c>
      <c r="L1028" s="16">
        <f t="shared" si="174"/>
        <v>0</v>
      </c>
      <c r="M1028" s="16">
        <f t="shared" si="174"/>
        <v>0</v>
      </c>
      <c r="N1028" s="20">
        <f t="shared" si="172"/>
        <v>0</v>
      </c>
      <c r="O1028" s="66">
        <f>SUM(B1035:M1035)</f>
        <v>0</v>
      </c>
      <c r="P1028" s="229"/>
      <c r="Q1028" s="231"/>
      <c r="R1028" s="232"/>
      <c r="S1028" s="232"/>
      <c r="T1028" s="232"/>
      <c r="U1028" s="232"/>
      <c r="V1028" s="232"/>
      <c r="W1028" s="232"/>
      <c r="X1028" s="232"/>
      <c r="Y1028" s="232"/>
      <c r="Z1028" s="232"/>
      <c r="AA1028" s="232"/>
      <c r="AB1028" s="232"/>
      <c r="AC1028" s="232"/>
      <c r="AD1028" s="232"/>
      <c r="AE1028" s="232"/>
      <c r="AF1028" s="232"/>
      <c r="AG1028" s="232"/>
      <c r="AH1028" s="232"/>
    </row>
    <row r="1029" spans="1:34" s="24" customFormat="1" ht="12" customHeight="1" hidden="1">
      <c r="A1029" s="3" t="s">
        <v>196</v>
      </c>
      <c r="B1029" s="136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19">
        <f t="shared" si="172"/>
        <v>0</v>
      </c>
      <c r="O1029" s="215"/>
      <c r="P1029" s="76">
        <f>SUM(B1038:I1038)</f>
        <v>0</v>
      </c>
      <c r="Q1029" s="69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  <c r="AC1029" s="75"/>
      <c r="AD1029" s="75"/>
      <c r="AE1029" s="75"/>
      <c r="AF1029" s="75"/>
      <c r="AG1029" s="75"/>
      <c r="AH1029" s="75"/>
    </row>
    <row r="1030" spans="1:34" s="28" customFormat="1" ht="12" customHeight="1" hidden="1">
      <c r="A1030" s="15" t="s">
        <v>184</v>
      </c>
      <c r="B1030" s="137">
        <f aca="true" t="shared" si="175" ref="B1030:M1030">SUM(B1031)</f>
        <v>0</v>
      </c>
      <c r="C1030" s="16">
        <f t="shared" si="175"/>
        <v>0</v>
      </c>
      <c r="D1030" s="16">
        <f t="shared" si="175"/>
        <v>0</v>
      </c>
      <c r="E1030" s="16">
        <f t="shared" si="175"/>
        <v>0</v>
      </c>
      <c r="F1030" s="16">
        <f t="shared" si="175"/>
        <v>0</v>
      </c>
      <c r="G1030" s="16">
        <f t="shared" si="175"/>
        <v>0</v>
      </c>
      <c r="H1030" s="16">
        <f t="shared" si="175"/>
        <v>0</v>
      </c>
      <c r="I1030" s="16">
        <f t="shared" si="175"/>
        <v>0</v>
      </c>
      <c r="J1030" s="16">
        <f t="shared" si="175"/>
        <v>0</v>
      </c>
      <c r="K1030" s="16">
        <f t="shared" si="175"/>
        <v>0</v>
      </c>
      <c r="L1030" s="16">
        <f t="shared" si="175"/>
        <v>0</v>
      </c>
      <c r="M1030" s="16">
        <f t="shared" si="175"/>
        <v>0</v>
      </c>
      <c r="N1030" s="20">
        <f t="shared" si="172"/>
        <v>0</v>
      </c>
      <c r="O1030" s="66">
        <f>SUM(B1038:M1038)</f>
        <v>0</v>
      </c>
      <c r="P1030" s="65"/>
      <c r="Q1030" s="68"/>
      <c r="R1030" s="117"/>
      <c r="S1030" s="117">
        <f>N1043</f>
        <v>0</v>
      </c>
      <c r="T1030" s="117"/>
      <c r="U1030" s="117"/>
      <c r="V1030" s="117"/>
      <c r="W1030" s="117"/>
      <c r="X1030" s="117"/>
      <c r="Y1030" s="117"/>
      <c r="Z1030" s="117"/>
      <c r="AA1030" s="117"/>
      <c r="AB1030" s="117"/>
      <c r="AC1030" s="117"/>
      <c r="AD1030" s="117"/>
      <c r="AE1030" s="117"/>
      <c r="AF1030" s="117"/>
      <c r="AG1030" s="117"/>
      <c r="AH1030" s="117"/>
    </row>
    <row r="1031" spans="1:34" s="24" customFormat="1" ht="12" customHeight="1" hidden="1">
      <c r="A1031" s="3" t="s">
        <v>158</v>
      </c>
      <c r="B1031" s="136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19">
        <f t="shared" si="172"/>
        <v>0</v>
      </c>
      <c r="O1031" s="66"/>
      <c r="P1031" s="76"/>
      <c r="Q1031" s="69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  <c r="AC1031" s="75"/>
      <c r="AD1031" s="75"/>
      <c r="AE1031" s="75"/>
      <c r="AF1031" s="75"/>
      <c r="AG1031" s="75"/>
      <c r="AH1031" s="75"/>
    </row>
    <row r="1032" spans="1:34" s="28" customFormat="1" ht="12" customHeight="1">
      <c r="A1032" s="26"/>
      <c r="B1032" s="136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19"/>
      <c r="O1032" s="66"/>
      <c r="P1032" s="65">
        <f>O1033-N1033</f>
        <v>-120893.67999994755</v>
      </c>
      <c r="Q1032" s="68"/>
      <c r="R1032" s="117"/>
      <c r="S1032" s="117">
        <f>SUM(N1045:N1046)</f>
        <v>700893256.0800003</v>
      </c>
      <c r="T1032" s="117"/>
      <c r="U1032" s="117"/>
      <c r="V1032" s="117"/>
      <c r="W1032" s="117"/>
      <c r="X1032" s="117"/>
      <c r="Y1032" s="117"/>
      <c r="Z1032" s="117"/>
      <c r="AA1032" s="117"/>
      <c r="AB1032" s="117"/>
      <c r="AC1032" s="117"/>
      <c r="AD1032" s="117"/>
      <c r="AE1032" s="117"/>
      <c r="AF1032" s="117"/>
      <c r="AG1032" s="117"/>
      <c r="AH1032" s="117"/>
    </row>
    <row r="1033" spans="1:34" s="24" customFormat="1" ht="12">
      <c r="A1033" s="96" t="s">
        <v>19</v>
      </c>
      <c r="B1033" s="138">
        <f aca="true" t="shared" si="176" ref="B1033:L1033">+B1034+B1041+B1044+B1047+B1049+B1060+B1084</f>
        <v>60432200.69000001</v>
      </c>
      <c r="C1033" s="138">
        <f t="shared" si="176"/>
        <v>63536291.69000001</v>
      </c>
      <c r="D1033" s="138">
        <f t="shared" si="176"/>
        <v>60528284.69000001</v>
      </c>
      <c r="E1033" s="138">
        <f t="shared" si="176"/>
        <v>60330416.69000001</v>
      </c>
      <c r="F1033" s="138">
        <f t="shared" si="176"/>
        <v>60553369.69000001</v>
      </c>
      <c r="G1033" s="138">
        <f t="shared" si="176"/>
        <v>60330416.69000001</v>
      </c>
      <c r="H1033" s="138">
        <f t="shared" si="176"/>
        <v>60451310.37000001</v>
      </c>
      <c r="I1033" s="138">
        <f t="shared" si="176"/>
        <v>60330416.69000001</v>
      </c>
      <c r="J1033" s="138">
        <f t="shared" si="176"/>
        <v>60528284.69000001</v>
      </c>
      <c r="K1033" s="138">
        <f t="shared" si="176"/>
        <v>60330416.69000001</v>
      </c>
      <c r="L1033" s="138">
        <f t="shared" si="176"/>
        <v>60330416.69000001</v>
      </c>
      <c r="M1033" s="138">
        <f>+M1034+M1041+M1044+M1047+M1049+M1060+M1084</f>
        <v>60330416.69000001</v>
      </c>
      <c r="N1033" s="97">
        <f aca="true" t="shared" si="177" ref="N1033:N1064">SUM(B1033:M1033)</f>
        <v>728012241.9600003</v>
      </c>
      <c r="O1033" s="66">
        <f>N1034+N1041+N1044+N1047+N1049+N1060</f>
        <v>727891348.2800003</v>
      </c>
      <c r="P1033" s="76"/>
      <c r="Q1033" s="69"/>
      <c r="R1033" s="75"/>
      <c r="S1033" s="75"/>
      <c r="T1033" s="75"/>
      <c r="U1033" s="75"/>
      <c r="V1033" s="75"/>
      <c r="W1033" s="75"/>
      <c r="X1033" s="75"/>
      <c r="Y1033" s="75"/>
      <c r="Z1033" s="75"/>
      <c r="AA1033" s="75"/>
      <c r="AB1033" s="75"/>
      <c r="AC1033" s="75"/>
      <c r="AD1033" s="75"/>
      <c r="AE1033" s="75"/>
      <c r="AF1033" s="75"/>
      <c r="AG1033" s="75"/>
      <c r="AH1033" s="75"/>
    </row>
    <row r="1034" spans="1:34" s="24" customFormat="1" ht="12" hidden="1">
      <c r="A1034" s="15" t="s">
        <v>123</v>
      </c>
      <c r="B1034" s="137">
        <f aca="true" t="shared" si="178" ref="B1034:M1034">SUM(B1035:B1038)</f>
        <v>1525000</v>
      </c>
      <c r="C1034" s="137">
        <f t="shared" si="178"/>
        <v>1525000</v>
      </c>
      <c r="D1034" s="137">
        <f t="shared" si="178"/>
        <v>1525000</v>
      </c>
      <c r="E1034" s="137">
        <f t="shared" si="178"/>
        <v>1525000</v>
      </c>
      <c r="F1034" s="137">
        <f t="shared" si="178"/>
        <v>1525000</v>
      </c>
      <c r="G1034" s="137">
        <f t="shared" si="178"/>
        <v>1525000</v>
      </c>
      <c r="H1034" s="137">
        <f t="shared" si="178"/>
        <v>1525000</v>
      </c>
      <c r="I1034" s="137">
        <f t="shared" si="178"/>
        <v>1525000</v>
      </c>
      <c r="J1034" s="137">
        <f t="shared" si="178"/>
        <v>1525000</v>
      </c>
      <c r="K1034" s="137">
        <f t="shared" si="178"/>
        <v>1525000</v>
      </c>
      <c r="L1034" s="137">
        <f t="shared" si="178"/>
        <v>1525000</v>
      </c>
      <c r="M1034" s="137">
        <f t="shared" si="178"/>
        <v>1525000</v>
      </c>
      <c r="N1034" s="20">
        <f t="shared" si="177"/>
        <v>18300000</v>
      </c>
      <c r="O1034" s="34"/>
      <c r="P1034" s="76"/>
      <c r="Q1034" s="69"/>
      <c r="R1034" s="75"/>
      <c r="S1034" s="75"/>
      <c r="T1034" s="75"/>
      <c r="U1034" s="75"/>
      <c r="V1034" s="75"/>
      <c r="W1034" s="75"/>
      <c r="X1034" s="75"/>
      <c r="Y1034" s="75"/>
      <c r="Z1034" s="75"/>
      <c r="AA1034" s="75"/>
      <c r="AB1034" s="75"/>
      <c r="AC1034" s="75"/>
      <c r="AD1034" s="75"/>
      <c r="AE1034" s="75"/>
      <c r="AF1034" s="75"/>
      <c r="AG1034" s="75"/>
      <c r="AH1034" s="75"/>
    </row>
    <row r="1035" spans="1:34" s="24" customFormat="1" ht="12">
      <c r="A1035" s="3" t="s">
        <v>124</v>
      </c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  <c r="M1035" s="136"/>
      <c r="N1035" s="19">
        <f t="shared" si="177"/>
        <v>0</v>
      </c>
      <c r="O1035" s="34"/>
      <c r="P1035" s="76"/>
      <c r="Q1035" s="69"/>
      <c r="R1035" s="75"/>
      <c r="S1035" s="75"/>
      <c r="T1035" s="75"/>
      <c r="U1035" s="75"/>
      <c r="V1035" s="75"/>
      <c r="W1035" s="75"/>
      <c r="X1035" s="75"/>
      <c r="Y1035" s="75"/>
      <c r="Z1035" s="75"/>
      <c r="AA1035" s="75"/>
      <c r="AB1035" s="75"/>
      <c r="AC1035" s="75"/>
      <c r="AD1035" s="75"/>
      <c r="AE1035" s="75"/>
      <c r="AF1035" s="75"/>
      <c r="AG1035" s="75"/>
      <c r="AH1035" s="75"/>
    </row>
    <row r="1036" spans="1:34" s="24" customFormat="1" ht="12">
      <c r="A1036" s="3" t="s">
        <v>698</v>
      </c>
      <c r="B1036" s="136">
        <v>25000</v>
      </c>
      <c r="C1036" s="136">
        <v>25000</v>
      </c>
      <c r="D1036" s="136">
        <v>25000</v>
      </c>
      <c r="E1036" s="136">
        <v>25000</v>
      </c>
      <c r="F1036" s="136">
        <v>25000</v>
      </c>
      <c r="G1036" s="136">
        <v>25000</v>
      </c>
      <c r="H1036" s="136">
        <v>25000</v>
      </c>
      <c r="I1036" s="136">
        <v>25000</v>
      </c>
      <c r="J1036" s="136">
        <v>25000</v>
      </c>
      <c r="K1036" s="136">
        <v>25000</v>
      </c>
      <c r="L1036" s="136">
        <v>25000</v>
      </c>
      <c r="M1036" s="136">
        <v>25000</v>
      </c>
      <c r="N1036" s="19">
        <f t="shared" si="177"/>
        <v>300000</v>
      </c>
      <c r="O1036" s="34"/>
      <c r="P1036" s="76"/>
      <c r="Q1036" s="69"/>
      <c r="R1036" s="75"/>
      <c r="S1036" s="75"/>
      <c r="T1036" s="75"/>
      <c r="U1036" s="75"/>
      <c r="V1036" s="75"/>
      <c r="W1036" s="75"/>
      <c r="X1036" s="75"/>
      <c r="Y1036" s="75"/>
      <c r="Z1036" s="75"/>
      <c r="AA1036" s="75"/>
      <c r="AB1036" s="75"/>
      <c r="AC1036" s="75"/>
      <c r="AD1036" s="75"/>
      <c r="AE1036" s="75"/>
      <c r="AF1036" s="75"/>
      <c r="AG1036" s="75"/>
      <c r="AH1036" s="75"/>
    </row>
    <row r="1037" spans="1:34" s="24" customFormat="1" ht="12">
      <c r="A1037" s="3" t="s">
        <v>699</v>
      </c>
      <c r="B1037" s="136">
        <v>1500000</v>
      </c>
      <c r="C1037" s="136">
        <v>1500000</v>
      </c>
      <c r="D1037" s="136">
        <v>1500000</v>
      </c>
      <c r="E1037" s="136">
        <v>1500000</v>
      </c>
      <c r="F1037" s="136">
        <v>1500000</v>
      </c>
      <c r="G1037" s="136">
        <v>1500000</v>
      </c>
      <c r="H1037" s="136">
        <v>1500000</v>
      </c>
      <c r="I1037" s="136">
        <v>1500000</v>
      </c>
      <c r="J1037" s="136">
        <v>1500000</v>
      </c>
      <c r="K1037" s="136">
        <v>1500000</v>
      </c>
      <c r="L1037" s="136">
        <v>1500000</v>
      </c>
      <c r="M1037" s="136">
        <v>1500000</v>
      </c>
      <c r="N1037" s="19">
        <f t="shared" si="177"/>
        <v>18000000</v>
      </c>
      <c r="O1037" s="34"/>
      <c r="P1037" s="76"/>
      <c r="Q1037" s="69"/>
      <c r="R1037" s="75"/>
      <c r="S1037" s="75"/>
      <c r="T1037" s="75"/>
      <c r="U1037" s="75"/>
      <c r="V1037" s="75"/>
      <c r="W1037" s="75"/>
      <c r="X1037" s="75"/>
      <c r="Y1037" s="75"/>
      <c r="Z1037" s="75"/>
      <c r="AA1037" s="75"/>
      <c r="AB1037" s="75"/>
      <c r="AC1037" s="75"/>
      <c r="AD1037" s="75"/>
      <c r="AE1037" s="75"/>
      <c r="AF1037" s="75"/>
      <c r="AG1037" s="75"/>
      <c r="AH1037" s="75"/>
    </row>
    <row r="1038" spans="1:34" s="24" customFormat="1" ht="12">
      <c r="A1038" s="3" t="s">
        <v>169</v>
      </c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  <c r="M1038" s="136"/>
      <c r="N1038" s="19">
        <f t="shared" si="177"/>
        <v>0</v>
      </c>
      <c r="O1038" s="34"/>
      <c r="P1038" s="76"/>
      <c r="Q1038" s="69"/>
      <c r="R1038" s="75"/>
      <c r="S1038" s="75"/>
      <c r="T1038" s="75"/>
      <c r="U1038" s="75"/>
      <c r="V1038" s="75"/>
      <c r="W1038" s="75"/>
      <c r="X1038" s="75"/>
      <c r="Y1038" s="75"/>
      <c r="Z1038" s="75"/>
      <c r="AA1038" s="75"/>
      <c r="AB1038" s="75"/>
      <c r="AC1038" s="75"/>
      <c r="AD1038" s="75"/>
      <c r="AE1038" s="75"/>
      <c r="AF1038" s="75"/>
      <c r="AG1038" s="75"/>
      <c r="AH1038" s="75"/>
    </row>
    <row r="1039" spans="1:34" s="28" customFormat="1" ht="12">
      <c r="A1039" s="15" t="s">
        <v>267</v>
      </c>
      <c r="B1039" s="137">
        <f aca="true" t="shared" si="179" ref="B1039:M1039">SUM(B1040)</f>
        <v>0</v>
      </c>
      <c r="C1039" s="16">
        <f t="shared" si="179"/>
        <v>0</v>
      </c>
      <c r="D1039" s="16">
        <f t="shared" si="179"/>
        <v>0</v>
      </c>
      <c r="E1039" s="16">
        <f t="shared" si="179"/>
        <v>0</v>
      </c>
      <c r="F1039" s="16">
        <f t="shared" si="179"/>
        <v>0</v>
      </c>
      <c r="G1039" s="16">
        <f t="shared" si="179"/>
        <v>0</v>
      </c>
      <c r="H1039" s="16">
        <f t="shared" si="179"/>
        <v>0</v>
      </c>
      <c r="I1039" s="16">
        <f t="shared" si="179"/>
        <v>0</v>
      </c>
      <c r="J1039" s="16">
        <f t="shared" si="179"/>
        <v>0</v>
      </c>
      <c r="K1039" s="16">
        <f t="shared" si="179"/>
        <v>0</v>
      </c>
      <c r="L1039" s="16">
        <f t="shared" si="179"/>
        <v>0</v>
      </c>
      <c r="M1039" s="16">
        <f t="shared" si="179"/>
        <v>0</v>
      </c>
      <c r="N1039" s="20">
        <f t="shared" si="177"/>
        <v>0</v>
      </c>
      <c r="O1039" s="34"/>
      <c r="P1039" s="65"/>
      <c r="Q1039" s="68"/>
      <c r="R1039" s="117"/>
      <c r="S1039" s="117">
        <f>N1048</f>
        <v>1000000.0799999997</v>
      </c>
      <c r="T1039" s="117"/>
      <c r="U1039" s="117"/>
      <c r="V1039" s="117"/>
      <c r="W1039" s="117"/>
      <c r="X1039" s="117"/>
      <c r="Y1039" s="117"/>
      <c r="Z1039" s="117"/>
      <c r="AA1039" s="117"/>
      <c r="AB1039" s="117"/>
      <c r="AC1039" s="117"/>
      <c r="AD1039" s="117"/>
      <c r="AE1039" s="117"/>
      <c r="AF1039" s="117"/>
      <c r="AG1039" s="117"/>
      <c r="AH1039" s="117"/>
    </row>
    <row r="1040" spans="1:34" s="24" customFormat="1" ht="12">
      <c r="A1040" s="3" t="s">
        <v>268</v>
      </c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  <c r="M1040" s="136"/>
      <c r="N1040" s="20">
        <f t="shared" si="177"/>
        <v>0</v>
      </c>
      <c r="O1040" s="66"/>
      <c r="P1040" s="76"/>
      <c r="Q1040" s="69"/>
      <c r="R1040" s="75"/>
      <c r="S1040" s="75"/>
      <c r="T1040" s="75"/>
      <c r="U1040" s="75"/>
      <c r="V1040" s="75"/>
      <c r="W1040" s="75"/>
      <c r="X1040" s="75"/>
      <c r="Y1040" s="75"/>
      <c r="Z1040" s="75"/>
      <c r="AA1040" s="75"/>
      <c r="AB1040" s="75"/>
      <c r="AC1040" s="75"/>
      <c r="AD1040" s="75"/>
      <c r="AE1040" s="75"/>
      <c r="AF1040" s="75"/>
      <c r="AG1040" s="75"/>
      <c r="AH1040" s="75"/>
    </row>
    <row r="1041" spans="1:34" s="24" customFormat="1" ht="12">
      <c r="A1041" s="15" t="s">
        <v>358</v>
      </c>
      <c r="B1041" s="137">
        <f>SUM(B1042:B1043)</f>
        <v>0</v>
      </c>
      <c r="C1041" s="137">
        <f aca="true" t="shared" si="180" ref="C1041:M1041">SUM(C1042:C1043)</f>
        <v>0</v>
      </c>
      <c r="D1041" s="137">
        <f t="shared" si="180"/>
        <v>0</v>
      </c>
      <c r="E1041" s="137">
        <f t="shared" si="180"/>
        <v>0</v>
      </c>
      <c r="F1041" s="137">
        <f t="shared" si="180"/>
        <v>0</v>
      </c>
      <c r="G1041" s="137">
        <f t="shared" si="180"/>
        <v>0</v>
      </c>
      <c r="H1041" s="137">
        <f t="shared" si="180"/>
        <v>0</v>
      </c>
      <c r="I1041" s="137">
        <f t="shared" si="180"/>
        <v>0</v>
      </c>
      <c r="J1041" s="137">
        <f t="shared" si="180"/>
        <v>0</v>
      </c>
      <c r="K1041" s="137">
        <f t="shared" si="180"/>
        <v>0</v>
      </c>
      <c r="L1041" s="137">
        <f t="shared" si="180"/>
        <v>0</v>
      </c>
      <c r="M1041" s="137">
        <f t="shared" si="180"/>
        <v>0</v>
      </c>
      <c r="N1041" s="20">
        <f t="shared" si="177"/>
        <v>0</v>
      </c>
      <c r="O1041" s="34"/>
      <c r="P1041" s="76"/>
      <c r="Q1041" s="69"/>
      <c r="R1041" s="75"/>
      <c r="S1041" s="75"/>
      <c r="T1041" s="75"/>
      <c r="U1041" s="75"/>
      <c r="V1041" s="75"/>
      <c r="W1041" s="75"/>
      <c r="X1041" s="75"/>
      <c r="Y1041" s="75"/>
      <c r="Z1041" s="75"/>
      <c r="AA1041" s="75"/>
      <c r="AB1041" s="75"/>
      <c r="AC1041" s="75"/>
      <c r="AD1041" s="75"/>
      <c r="AE1041" s="75"/>
      <c r="AF1041" s="75"/>
      <c r="AG1041" s="75"/>
      <c r="AH1041" s="75"/>
    </row>
    <row r="1042" spans="1:34" s="28" customFormat="1" ht="12">
      <c r="A1042" s="15" t="s">
        <v>608</v>
      </c>
      <c r="B1042" s="137"/>
      <c r="C1042" s="137"/>
      <c r="D1042" s="137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20">
        <f t="shared" si="177"/>
        <v>0</v>
      </c>
      <c r="O1042" s="34"/>
      <c r="P1042" s="76" t="e">
        <f>SUM(#REF!)</f>
        <v>#REF!</v>
      </c>
      <c r="Q1042" s="68"/>
      <c r="R1042" s="117"/>
      <c r="S1042" s="117"/>
      <c r="T1042" s="117"/>
      <c r="U1042" s="117"/>
      <c r="V1042" s="117"/>
      <c r="W1042" s="117"/>
      <c r="X1042" s="117"/>
      <c r="Y1042" s="117"/>
      <c r="Z1042" s="117"/>
      <c r="AA1042" s="117"/>
      <c r="AB1042" s="117"/>
      <c r="AC1042" s="117"/>
      <c r="AD1042" s="117"/>
      <c r="AE1042" s="117"/>
      <c r="AF1042" s="117"/>
      <c r="AG1042" s="117"/>
      <c r="AH1042" s="117"/>
    </row>
    <row r="1043" spans="1:34" s="28" customFormat="1" ht="12">
      <c r="A1043" s="3" t="s">
        <v>359</v>
      </c>
      <c r="B1043" s="136" t="s">
        <v>569</v>
      </c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  <c r="M1043" s="136"/>
      <c r="N1043" s="20">
        <f t="shared" si="177"/>
        <v>0</v>
      </c>
      <c r="O1043" s="66" t="e">
        <f>SUM(#REF!)</f>
        <v>#REF!</v>
      </c>
      <c r="P1043" s="65">
        <f>SUM(B1047:I1047)</f>
        <v>666666.7199999999</v>
      </c>
      <c r="Q1043" s="68"/>
      <c r="R1043" s="117"/>
      <c r="S1043" s="117">
        <f>SUM(N1051:N1059)</f>
        <v>7198092.08</v>
      </c>
      <c r="T1043" s="117"/>
      <c r="U1043" s="117"/>
      <c r="V1043" s="117"/>
      <c r="W1043" s="117"/>
      <c r="X1043" s="117"/>
      <c r="Y1043" s="117"/>
      <c r="Z1043" s="117"/>
      <c r="AA1043" s="117"/>
      <c r="AB1043" s="117"/>
      <c r="AC1043" s="117"/>
      <c r="AD1043" s="117"/>
      <c r="AE1043" s="117"/>
      <c r="AF1043" s="117"/>
      <c r="AG1043" s="117"/>
      <c r="AH1043" s="117"/>
    </row>
    <row r="1044" spans="1:34" s="24" customFormat="1" ht="12">
      <c r="A1044" s="15" t="s">
        <v>125</v>
      </c>
      <c r="B1044" s="137">
        <f aca="true" t="shared" si="181" ref="B1044:M1044">SUM(B1045:B1046)</f>
        <v>58435117.34</v>
      </c>
      <c r="C1044" s="137">
        <f t="shared" si="181"/>
        <v>58531201.34</v>
      </c>
      <c r="D1044" s="137">
        <f t="shared" si="181"/>
        <v>58531201.34</v>
      </c>
      <c r="E1044" s="137">
        <f t="shared" si="181"/>
        <v>58333333.34</v>
      </c>
      <c r="F1044" s="137">
        <f t="shared" si="181"/>
        <v>58531201.34</v>
      </c>
      <c r="G1044" s="137">
        <f t="shared" si="181"/>
        <v>58333333.34</v>
      </c>
      <c r="H1044" s="137">
        <f t="shared" si="181"/>
        <v>58333333.34</v>
      </c>
      <c r="I1044" s="137">
        <f t="shared" si="181"/>
        <v>58333333.34</v>
      </c>
      <c r="J1044" s="137">
        <f t="shared" si="181"/>
        <v>58531201.34</v>
      </c>
      <c r="K1044" s="137">
        <f t="shared" si="181"/>
        <v>58333333.34</v>
      </c>
      <c r="L1044" s="137">
        <f t="shared" si="181"/>
        <v>58333333.34</v>
      </c>
      <c r="M1044" s="137">
        <f t="shared" si="181"/>
        <v>58333333.34</v>
      </c>
      <c r="N1044" s="20">
        <f t="shared" si="177"/>
        <v>700893256.0800003</v>
      </c>
      <c r="O1044" s="66">
        <f>SUM(B1047:M1047)</f>
        <v>1000000.0799999997</v>
      </c>
      <c r="P1044" s="76"/>
      <c r="Q1044" s="69"/>
      <c r="R1044" s="75"/>
      <c r="S1044" s="75"/>
      <c r="T1044" s="75"/>
      <c r="U1044" s="75"/>
      <c r="V1044" s="75"/>
      <c r="W1044" s="75"/>
      <c r="X1044" s="75"/>
      <c r="Y1044" s="75"/>
      <c r="Z1044" s="75"/>
      <c r="AA1044" s="75"/>
      <c r="AB1044" s="75"/>
      <c r="AC1044" s="75"/>
      <c r="AD1044" s="75"/>
      <c r="AE1044" s="75"/>
      <c r="AF1044" s="75"/>
      <c r="AG1044" s="75"/>
      <c r="AH1044" s="75"/>
    </row>
    <row r="1045" spans="1:34" s="24" customFormat="1" ht="12">
      <c r="A1045" s="3" t="s">
        <v>1014</v>
      </c>
      <c r="B1045" s="136">
        <v>101784</v>
      </c>
      <c r="C1045" s="136">
        <v>197868</v>
      </c>
      <c r="D1045" s="136">
        <v>197868</v>
      </c>
      <c r="E1045" s="136"/>
      <c r="F1045" s="136">
        <v>197868</v>
      </c>
      <c r="G1045" s="136"/>
      <c r="H1045" s="136"/>
      <c r="I1045" s="136"/>
      <c r="J1045" s="136">
        <v>197868</v>
      </c>
      <c r="K1045" s="136"/>
      <c r="L1045" s="136"/>
      <c r="M1045" s="136"/>
      <c r="N1045" s="19">
        <f t="shared" si="177"/>
        <v>893256</v>
      </c>
      <c r="O1045" s="66"/>
      <c r="P1045" s="76"/>
      <c r="Q1045" s="69"/>
      <c r="R1045" s="75"/>
      <c r="S1045" s="75"/>
      <c r="T1045" s="75"/>
      <c r="U1045" s="75"/>
      <c r="V1045" s="75"/>
      <c r="W1045" s="75"/>
      <c r="X1045" s="75"/>
      <c r="Y1045" s="75"/>
      <c r="Z1045" s="75"/>
      <c r="AA1045" s="75"/>
      <c r="AB1045" s="75"/>
      <c r="AC1045" s="75"/>
      <c r="AD1045" s="75"/>
      <c r="AE1045" s="75"/>
      <c r="AF1045" s="75"/>
      <c r="AG1045" s="75"/>
      <c r="AH1045" s="75"/>
    </row>
    <row r="1046" spans="1:34" s="24" customFormat="1" ht="12" customHeight="1">
      <c r="A1046" s="3" t="s">
        <v>414</v>
      </c>
      <c r="B1046" s="136">
        <v>58333333.34</v>
      </c>
      <c r="C1046" s="136">
        <v>58333333.34</v>
      </c>
      <c r="D1046" s="136">
        <v>58333333.34</v>
      </c>
      <c r="E1046" s="136">
        <v>58333333.34</v>
      </c>
      <c r="F1046" s="136">
        <v>58333333.34</v>
      </c>
      <c r="G1046" s="136">
        <v>58333333.34</v>
      </c>
      <c r="H1046" s="136">
        <v>58333333.34</v>
      </c>
      <c r="I1046" s="136">
        <v>58333333.34</v>
      </c>
      <c r="J1046" s="136">
        <v>58333333.34</v>
      </c>
      <c r="K1046" s="136">
        <v>58333333.34</v>
      </c>
      <c r="L1046" s="136">
        <v>58333333.34</v>
      </c>
      <c r="M1046" s="136">
        <v>58333333.34</v>
      </c>
      <c r="N1046" s="19">
        <f t="shared" si="177"/>
        <v>700000000.0800003</v>
      </c>
      <c r="O1046" s="66"/>
      <c r="P1046" s="76"/>
      <c r="Q1046" s="69"/>
      <c r="R1046" s="75"/>
      <c r="S1046" s="75"/>
      <c r="T1046" s="75"/>
      <c r="U1046" s="75"/>
      <c r="V1046" s="75"/>
      <c r="W1046" s="75"/>
      <c r="X1046" s="75"/>
      <c r="Y1046" s="75"/>
      <c r="Z1046" s="75"/>
      <c r="AA1046" s="75"/>
      <c r="AB1046" s="75"/>
      <c r="AC1046" s="75"/>
      <c r="AD1046" s="75"/>
      <c r="AE1046" s="75"/>
      <c r="AF1046" s="75"/>
      <c r="AG1046" s="75"/>
      <c r="AH1046" s="75"/>
    </row>
    <row r="1047" spans="1:34" s="24" customFormat="1" ht="12" customHeight="1">
      <c r="A1047" s="15" t="s">
        <v>412</v>
      </c>
      <c r="B1047" s="137">
        <f aca="true" t="shared" si="182" ref="B1047:M1047">B1048</f>
        <v>83333.34</v>
      </c>
      <c r="C1047" s="137">
        <f t="shared" si="182"/>
        <v>83333.34</v>
      </c>
      <c r="D1047" s="137">
        <f t="shared" si="182"/>
        <v>83333.34</v>
      </c>
      <c r="E1047" s="137">
        <f t="shared" si="182"/>
        <v>83333.34</v>
      </c>
      <c r="F1047" s="137">
        <f t="shared" si="182"/>
        <v>83333.34</v>
      </c>
      <c r="G1047" s="137">
        <f t="shared" si="182"/>
        <v>83333.34</v>
      </c>
      <c r="H1047" s="137">
        <f t="shared" si="182"/>
        <v>83333.34</v>
      </c>
      <c r="I1047" s="137">
        <f t="shared" si="182"/>
        <v>83333.34</v>
      </c>
      <c r="J1047" s="137">
        <f t="shared" si="182"/>
        <v>83333.34</v>
      </c>
      <c r="K1047" s="137">
        <f t="shared" si="182"/>
        <v>83333.34</v>
      </c>
      <c r="L1047" s="137">
        <f t="shared" si="182"/>
        <v>83333.34</v>
      </c>
      <c r="M1047" s="137">
        <f t="shared" si="182"/>
        <v>83333.34</v>
      </c>
      <c r="N1047" s="20">
        <f t="shared" si="177"/>
        <v>1000000.0799999997</v>
      </c>
      <c r="O1047" s="66"/>
      <c r="P1047" s="76">
        <f>SUM(B1056:I1056)</f>
        <v>0</v>
      </c>
      <c r="Q1047" s="69"/>
      <c r="R1047" s="75"/>
      <c r="S1047" s="75"/>
      <c r="T1047" s="75"/>
      <c r="U1047" s="75"/>
      <c r="V1047" s="75"/>
      <c r="W1047" s="75"/>
      <c r="X1047" s="75"/>
      <c r="Y1047" s="75"/>
      <c r="Z1047" s="75"/>
      <c r="AA1047" s="75"/>
      <c r="AB1047" s="75"/>
      <c r="AC1047" s="75"/>
      <c r="AD1047" s="75"/>
      <c r="AE1047" s="75"/>
      <c r="AF1047" s="75"/>
      <c r="AG1047" s="75"/>
      <c r="AH1047" s="75"/>
    </row>
    <row r="1048" spans="1:34" s="24" customFormat="1" ht="12" customHeight="1">
      <c r="A1048" s="3" t="s">
        <v>408</v>
      </c>
      <c r="B1048" s="136">
        <v>83333.34</v>
      </c>
      <c r="C1048" s="136">
        <v>83333.34</v>
      </c>
      <c r="D1048" s="136">
        <v>83333.34</v>
      </c>
      <c r="E1048" s="136">
        <v>83333.34</v>
      </c>
      <c r="F1048" s="136">
        <v>83333.34</v>
      </c>
      <c r="G1048" s="136">
        <v>83333.34</v>
      </c>
      <c r="H1048" s="136">
        <v>83333.34</v>
      </c>
      <c r="I1048" s="136">
        <v>83333.34</v>
      </c>
      <c r="J1048" s="136">
        <v>83333.34</v>
      </c>
      <c r="K1048" s="136">
        <v>83333.34</v>
      </c>
      <c r="L1048" s="136">
        <v>83333.34</v>
      </c>
      <c r="M1048" s="136">
        <v>83333.34</v>
      </c>
      <c r="N1048" s="19">
        <f t="shared" si="177"/>
        <v>1000000.0799999997</v>
      </c>
      <c r="P1048" s="76" t="e">
        <f>SUM(#REF!)</f>
        <v>#REF!</v>
      </c>
      <c r="Q1048" s="69"/>
      <c r="R1048" s="75"/>
      <c r="S1048" s="75" t="e">
        <f>SUM(N301)+N322+#REF!</f>
        <v>#REF!</v>
      </c>
      <c r="T1048" s="75"/>
      <c r="U1048" s="75"/>
      <c r="V1048" s="75"/>
      <c r="W1048" s="75"/>
      <c r="X1048" s="75"/>
      <c r="Y1048" s="75"/>
      <c r="Z1048" s="75"/>
      <c r="AA1048" s="75"/>
      <c r="AB1048" s="75"/>
      <c r="AC1048" s="75"/>
      <c r="AD1048" s="75"/>
      <c r="AE1048" s="75"/>
      <c r="AF1048" s="75"/>
      <c r="AG1048" s="75"/>
      <c r="AH1048" s="75"/>
    </row>
    <row r="1049" spans="1:34" s="28" customFormat="1" ht="12" customHeight="1">
      <c r="A1049" s="15" t="s">
        <v>126</v>
      </c>
      <c r="B1049" s="137">
        <f>B1050+B1058+B1059</f>
        <v>347083.34</v>
      </c>
      <c r="C1049" s="16">
        <f aca="true" t="shared" si="183" ref="C1049:M1049">C1050+C1058+C1059</f>
        <v>3355090.34</v>
      </c>
      <c r="D1049" s="16">
        <f t="shared" si="183"/>
        <v>347083.34</v>
      </c>
      <c r="E1049" s="16">
        <f t="shared" si="183"/>
        <v>347083.34</v>
      </c>
      <c r="F1049" s="16">
        <f t="shared" si="183"/>
        <v>372168.34</v>
      </c>
      <c r="G1049" s="16">
        <f t="shared" si="183"/>
        <v>347083.34</v>
      </c>
      <c r="H1049" s="16">
        <f t="shared" si="183"/>
        <v>347083.34</v>
      </c>
      <c r="I1049" s="16">
        <f t="shared" si="183"/>
        <v>347083.34</v>
      </c>
      <c r="J1049" s="16">
        <f t="shared" si="183"/>
        <v>347083.34</v>
      </c>
      <c r="K1049" s="16">
        <f t="shared" si="183"/>
        <v>347083.34</v>
      </c>
      <c r="L1049" s="16">
        <f t="shared" si="183"/>
        <v>347083.34</v>
      </c>
      <c r="M1049" s="16">
        <f t="shared" si="183"/>
        <v>347083.34</v>
      </c>
      <c r="N1049" s="20">
        <f t="shared" si="177"/>
        <v>7198092.079999998</v>
      </c>
      <c r="O1049" s="24"/>
      <c r="P1049" s="76">
        <f>SUM(B1057:I1057)</f>
        <v>25085</v>
      </c>
      <c r="Q1049" s="68"/>
      <c r="R1049" s="117"/>
      <c r="S1049" s="117">
        <f>SUM(B1058:M1058)</f>
        <v>0</v>
      </c>
      <c r="T1049" s="117"/>
      <c r="U1049" s="117"/>
      <c r="V1049" s="117"/>
      <c r="W1049" s="117"/>
      <c r="X1049" s="117"/>
      <c r="Y1049" s="117"/>
      <c r="Z1049" s="117"/>
      <c r="AA1049" s="117"/>
      <c r="AB1049" s="117"/>
      <c r="AC1049" s="117"/>
      <c r="AD1049" s="117"/>
      <c r="AE1049" s="117"/>
      <c r="AF1049" s="117"/>
      <c r="AG1049" s="117"/>
      <c r="AH1049" s="117"/>
    </row>
    <row r="1050" spans="1:34" s="28" customFormat="1" ht="12" customHeight="1">
      <c r="A1050" s="15" t="s">
        <v>227</v>
      </c>
      <c r="B1050" s="137">
        <f>SUM(B1051:B1057)</f>
        <v>347083.34</v>
      </c>
      <c r="C1050" s="137">
        <f aca="true" t="shared" si="184" ref="C1050:M1050">SUM(C1051:C1057)</f>
        <v>3355090.34</v>
      </c>
      <c r="D1050" s="137">
        <f t="shared" si="184"/>
        <v>347083.34</v>
      </c>
      <c r="E1050" s="137">
        <f t="shared" si="184"/>
        <v>347083.34</v>
      </c>
      <c r="F1050" s="137">
        <f t="shared" si="184"/>
        <v>372168.34</v>
      </c>
      <c r="G1050" s="137">
        <f t="shared" si="184"/>
        <v>347083.34</v>
      </c>
      <c r="H1050" s="137">
        <f t="shared" si="184"/>
        <v>347083.34</v>
      </c>
      <c r="I1050" s="137">
        <f t="shared" si="184"/>
        <v>347083.34</v>
      </c>
      <c r="J1050" s="137">
        <f t="shared" si="184"/>
        <v>347083.34</v>
      </c>
      <c r="K1050" s="137">
        <f t="shared" si="184"/>
        <v>347083.34</v>
      </c>
      <c r="L1050" s="137">
        <f t="shared" si="184"/>
        <v>347083.34</v>
      </c>
      <c r="M1050" s="137">
        <f t="shared" si="184"/>
        <v>347083.34</v>
      </c>
      <c r="N1050" s="20">
        <f t="shared" si="177"/>
        <v>7198092.079999998</v>
      </c>
      <c r="P1050" s="76">
        <f>SUM(B321:I321)</f>
        <v>0</v>
      </c>
      <c r="Q1050" s="68"/>
      <c r="R1050" s="117"/>
      <c r="S1050" s="117">
        <f>SUM(N1063:N1080)</f>
        <v>0</v>
      </c>
      <c r="T1050" s="117"/>
      <c r="U1050" s="117"/>
      <c r="V1050" s="117"/>
      <c r="W1050" s="117"/>
      <c r="X1050" s="117"/>
      <c r="Y1050" s="117"/>
      <c r="Z1050" s="117"/>
      <c r="AA1050" s="117"/>
      <c r="AB1050" s="117"/>
      <c r="AC1050" s="117"/>
      <c r="AD1050" s="117"/>
      <c r="AE1050" s="117"/>
      <c r="AF1050" s="117"/>
      <c r="AG1050" s="117"/>
      <c r="AH1050" s="117"/>
    </row>
    <row r="1051" spans="1:34" s="28" customFormat="1" ht="12" customHeight="1">
      <c r="A1051" s="3" t="s">
        <v>274</v>
      </c>
      <c r="B1051" s="352"/>
      <c r="C1051" s="352">
        <v>1981715</v>
      </c>
      <c r="D1051" s="352"/>
      <c r="E1051" s="352"/>
      <c r="F1051" s="352"/>
      <c r="G1051" s="352"/>
      <c r="H1051" s="352"/>
      <c r="I1051" s="352"/>
      <c r="J1051" s="352"/>
      <c r="K1051" s="352"/>
      <c r="L1051" s="352"/>
      <c r="M1051" s="352"/>
      <c r="N1051" s="19">
        <f t="shared" si="177"/>
        <v>1981715</v>
      </c>
      <c r="P1051" s="76"/>
      <c r="Q1051" s="68"/>
      <c r="R1051" s="117"/>
      <c r="S1051" s="117"/>
      <c r="T1051" s="117"/>
      <c r="U1051" s="117"/>
      <c r="V1051" s="117"/>
      <c r="W1051" s="117"/>
      <c r="X1051" s="117"/>
      <c r="Y1051" s="117"/>
      <c r="Z1051" s="117"/>
      <c r="AA1051" s="117"/>
      <c r="AB1051" s="117"/>
      <c r="AC1051" s="117"/>
      <c r="AD1051" s="117"/>
      <c r="AE1051" s="117"/>
      <c r="AF1051" s="117"/>
      <c r="AG1051" s="117"/>
      <c r="AH1051" s="117"/>
    </row>
    <row r="1052" spans="1:34" s="28" customFormat="1" ht="12" customHeight="1">
      <c r="A1052" s="3" t="s">
        <v>344</v>
      </c>
      <c r="B1052" s="4"/>
      <c r="C1052" s="4">
        <v>717745</v>
      </c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19">
        <f t="shared" si="177"/>
        <v>717745</v>
      </c>
      <c r="P1052" s="76"/>
      <c r="Q1052" s="68"/>
      <c r="R1052" s="117"/>
      <c r="S1052" s="117"/>
      <c r="T1052" s="117"/>
      <c r="U1052" s="117"/>
      <c r="V1052" s="117"/>
      <c r="W1052" s="117"/>
      <c r="X1052" s="117"/>
      <c r="Y1052" s="117"/>
      <c r="Z1052" s="117"/>
      <c r="AA1052" s="117"/>
      <c r="AB1052" s="117"/>
      <c r="AC1052" s="117"/>
      <c r="AD1052" s="117"/>
      <c r="AE1052" s="117"/>
      <c r="AF1052" s="117"/>
      <c r="AG1052" s="117"/>
      <c r="AH1052" s="117"/>
    </row>
    <row r="1053" spans="1:34" s="28" customFormat="1" ht="12" customHeight="1">
      <c r="A1053" s="3" t="s">
        <v>275</v>
      </c>
      <c r="B1053" s="136">
        <v>347083.34</v>
      </c>
      <c r="C1053" s="136">
        <v>347083.34</v>
      </c>
      <c r="D1053" s="136">
        <v>347083.34</v>
      </c>
      <c r="E1053" s="136">
        <v>347083.34</v>
      </c>
      <c r="F1053" s="136">
        <v>347083.34</v>
      </c>
      <c r="G1053" s="136">
        <v>347083.34</v>
      </c>
      <c r="H1053" s="136">
        <v>347083.34</v>
      </c>
      <c r="I1053" s="136">
        <v>347083.34</v>
      </c>
      <c r="J1053" s="136">
        <v>347083.34</v>
      </c>
      <c r="K1053" s="136">
        <v>347083.34</v>
      </c>
      <c r="L1053" s="136">
        <v>347083.34</v>
      </c>
      <c r="M1053" s="136">
        <v>347083.34</v>
      </c>
      <c r="N1053" s="19">
        <f t="shared" si="177"/>
        <v>4165000.0799999996</v>
      </c>
      <c r="P1053" s="76"/>
      <c r="Q1053" s="68"/>
      <c r="R1053" s="117"/>
      <c r="S1053" s="117"/>
      <c r="T1053" s="117"/>
      <c r="U1053" s="117"/>
      <c r="V1053" s="117"/>
      <c r="W1053" s="117"/>
      <c r="X1053" s="117"/>
      <c r="Y1053" s="117"/>
      <c r="Z1053" s="117"/>
      <c r="AA1053" s="117"/>
      <c r="AB1053" s="117"/>
      <c r="AC1053" s="117"/>
      <c r="AD1053" s="117"/>
      <c r="AE1053" s="117"/>
      <c r="AF1053" s="117"/>
      <c r="AG1053" s="117"/>
      <c r="AH1053" s="117"/>
    </row>
    <row r="1054" spans="1:34" s="28" customFormat="1" ht="12" customHeight="1">
      <c r="A1054" s="3" t="s">
        <v>616</v>
      </c>
      <c r="B1054" s="136"/>
      <c r="C1054" s="136">
        <v>308547</v>
      </c>
      <c r="D1054" s="136"/>
      <c r="E1054" s="136"/>
      <c r="F1054" s="136"/>
      <c r="G1054" s="136"/>
      <c r="H1054" s="136"/>
      <c r="I1054" s="136"/>
      <c r="J1054" s="136"/>
      <c r="K1054" s="136"/>
      <c r="L1054" s="136"/>
      <c r="M1054" s="136"/>
      <c r="N1054" s="19">
        <f t="shared" si="177"/>
        <v>308547</v>
      </c>
      <c r="P1054" s="76"/>
      <c r="Q1054" s="68"/>
      <c r="R1054" s="117"/>
      <c r="S1054" s="117"/>
      <c r="T1054" s="117"/>
      <c r="U1054" s="117"/>
      <c r="V1054" s="117"/>
      <c r="W1054" s="117"/>
      <c r="X1054" s="117"/>
      <c r="Y1054" s="117"/>
      <c r="Z1054" s="117"/>
      <c r="AA1054" s="117"/>
      <c r="AB1054" s="117"/>
      <c r="AC1054" s="117"/>
      <c r="AD1054" s="117"/>
      <c r="AE1054" s="117"/>
      <c r="AF1054" s="117"/>
      <c r="AG1054" s="117"/>
      <c r="AH1054" s="117"/>
    </row>
    <row r="1055" spans="1:34" s="28" customFormat="1" ht="12" customHeight="1">
      <c r="A1055" s="3" t="s">
        <v>276</v>
      </c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19">
        <f t="shared" si="177"/>
        <v>0</v>
      </c>
      <c r="P1055" s="76"/>
      <c r="Q1055" s="68"/>
      <c r="R1055" s="117"/>
      <c r="S1055" s="117"/>
      <c r="T1055" s="117"/>
      <c r="U1055" s="117"/>
      <c r="V1055" s="117"/>
      <c r="W1055" s="117"/>
      <c r="X1055" s="117"/>
      <c r="Y1055" s="117"/>
      <c r="Z1055" s="117"/>
      <c r="AA1055" s="117"/>
      <c r="AB1055" s="117"/>
      <c r="AC1055" s="117"/>
      <c r="AD1055" s="117"/>
      <c r="AE1055" s="117"/>
      <c r="AF1055" s="117"/>
      <c r="AG1055" s="117"/>
      <c r="AH1055" s="117"/>
    </row>
    <row r="1056" spans="1:34" s="28" customFormat="1" ht="12" customHeight="1">
      <c r="A1056" s="3" t="s">
        <v>345</v>
      </c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19">
        <f t="shared" si="177"/>
        <v>0</v>
      </c>
      <c r="P1056" s="76"/>
      <c r="Q1056" s="68"/>
      <c r="R1056" s="117"/>
      <c r="S1056" s="117"/>
      <c r="T1056" s="117"/>
      <c r="U1056" s="117"/>
      <c r="V1056" s="117"/>
      <c r="W1056" s="117"/>
      <c r="X1056" s="117"/>
      <c r="Y1056" s="117"/>
      <c r="Z1056" s="117"/>
      <c r="AA1056" s="117"/>
      <c r="AB1056" s="117"/>
      <c r="AC1056" s="117"/>
      <c r="AD1056" s="117"/>
      <c r="AE1056" s="117"/>
      <c r="AF1056" s="117"/>
      <c r="AG1056" s="117"/>
      <c r="AH1056" s="117"/>
    </row>
    <row r="1057" spans="1:34" s="28" customFormat="1" ht="12" customHeight="1">
      <c r="A1057" s="3" t="s">
        <v>346</v>
      </c>
      <c r="B1057" s="4"/>
      <c r="C1057" s="4"/>
      <c r="D1057" s="4"/>
      <c r="E1057" s="4"/>
      <c r="F1057" s="4">
        <v>25085</v>
      </c>
      <c r="G1057" s="4"/>
      <c r="H1057" s="4"/>
      <c r="I1057" s="4"/>
      <c r="J1057" s="4"/>
      <c r="K1057" s="4"/>
      <c r="L1057" s="4"/>
      <c r="M1057" s="4"/>
      <c r="N1057" s="19">
        <f t="shared" si="177"/>
        <v>25085</v>
      </c>
      <c r="P1057" s="76"/>
      <c r="Q1057" s="68"/>
      <c r="R1057" s="117"/>
      <c r="S1057" s="117"/>
      <c r="T1057" s="117"/>
      <c r="U1057" s="117"/>
      <c r="V1057" s="117"/>
      <c r="W1057" s="117"/>
      <c r="X1057" s="117"/>
      <c r="Y1057" s="117"/>
      <c r="Z1057" s="117"/>
      <c r="AA1057" s="117"/>
      <c r="AB1057" s="117"/>
      <c r="AC1057" s="117"/>
      <c r="AD1057" s="117"/>
      <c r="AE1057" s="117"/>
      <c r="AF1057" s="117"/>
      <c r="AG1057" s="117"/>
      <c r="AH1057" s="117"/>
    </row>
    <row r="1058" spans="1:34" s="28" customFormat="1" ht="12" customHeight="1">
      <c r="A1058" s="15" t="s">
        <v>185</v>
      </c>
      <c r="B1058" s="136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19">
        <f t="shared" si="177"/>
        <v>0</v>
      </c>
      <c r="P1058" s="65"/>
      <c r="Q1058" s="68"/>
      <c r="R1058" s="117"/>
      <c r="S1058" s="117"/>
      <c r="T1058" s="117"/>
      <c r="U1058" s="117"/>
      <c r="V1058" s="117"/>
      <c r="W1058" s="117"/>
      <c r="X1058" s="117"/>
      <c r="Y1058" s="117"/>
      <c r="Z1058" s="117"/>
      <c r="AA1058" s="117"/>
      <c r="AB1058" s="117"/>
      <c r="AC1058" s="117"/>
      <c r="AD1058" s="117"/>
      <c r="AE1058" s="117"/>
      <c r="AF1058" s="117"/>
      <c r="AG1058" s="117"/>
      <c r="AH1058" s="117"/>
    </row>
    <row r="1059" spans="1:34" s="28" customFormat="1" ht="12" customHeight="1">
      <c r="A1059" s="15" t="s">
        <v>173</v>
      </c>
      <c r="B1059" s="137"/>
      <c r="C1059" s="137"/>
      <c r="D1059" s="137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20">
        <f t="shared" si="177"/>
        <v>0</v>
      </c>
      <c r="P1059" s="76"/>
      <c r="Q1059" s="68"/>
      <c r="R1059" s="117"/>
      <c r="S1059" s="117"/>
      <c r="T1059" s="117"/>
      <c r="U1059" s="117"/>
      <c r="V1059" s="117"/>
      <c r="W1059" s="117"/>
      <c r="X1059" s="117"/>
      <c r="Y1059" s="117"/>
      <c r="Z1059" s="117"/>
      <c r="AA1059" s="117"/>
      <c r="AB1059" s="117"/>
      <c r="AC1059" s="117"/>
      <c r="AD1059" s="117"/>
      <c r="AE1059" s="117"/>
      <c r="AF1059" s="117"/>
      <c r="AG1059" s="117"/>
      <c r="AH1059" s="117"/>
    </row>
    <row r="1060" spans="1:34" s="28" customFormat="1" ht="12" customHeight="1">
      <c r="A1060" s="15" t="s">
        <v>114</v>
      </c>
      <c r="B1060" s="137">
        <f>B1061</f>
        <v>41666.67</v>
      </c>
      <c r="C1060" s="137">
        <f aca="true" t="shared" si="185" ref="C1060:M1060">C1061</f>
        <v>41666.67</v>
      </c>
      <c r="D1060" s="137">
        <f t="shared" si="185"/>
        <v>41666.67</v>
      </c>
      <c r="E1060" s="137">
        <f t="shared" si="185"/>
        <v>41666.67</v>
      </c>
      <c r="F1060" s="137">
        <f t="shared" si="185"/>
        <v>41666.67</v>
      </c>
      <c r="G1060" s="137">
        <f t="shared" si="185"/>
        <v>41666.67</v>
      </c>
      <c r="H1060" s="137">
        <f t="shared" si="185"/>
        <v>41666.67</v>
      </c>
      <c r="I1060" s="137">
        <f t="shared" si="185"/>
        <v>41666.67</v>
      </c>
      <c r="J1060" s="137">
        <f t="shared" si="185"/>
        <v>41666.67</v>
      </c>
      <c r="K1060" s="137">
        <f t="shared" si="185"/>
        <v>41666.67</v>
      </c>
      <c r="L1060" s="137">
        <f t="shared" si="185"/>
        <v>41666.67</v>
      </c>
      <c r="M1060" s="137">
        <f t="shared" si="185"/>
        <v>41666.67</v>
      </c>
      <c r="N1060" s="20">
        <f t="shared" si="177"/>
        <v>500000.03999999986</v>
      </c>
      <c r="P1060" s="76"/>
      <c r="Q1060" s="68"/>
      <c r="R1060" s="117"/>
      <c r="S1060" s="117"/>
      <c r="T1060" s="117"/>
      <c r="U1060" s="117"/>
      <c r="V1060" s="117"/>
      <c r="W1060" s="117"/>
      <c r="X1060" s="117"/>
      <c r="Y1060" s="117"/>
      <c r="Z1060" s="117"/>
      <c r="AA1060" s="117"/>
      <c r="AB1060" s="117"/>
      <c r="AC1060" s="117"/>
      <c r="AD1060" s="117"/>
      <c r="AE1060" s="117"/>
      <c r="AF1060" s="117"/>
      <c r="AG1060" s="117"/>
      <c r="AH1060" s="117"/>
    </row>
    <row r="1061" spans="1:34" s="28" customFormat="1" ht="12" customHeight="1">
      <c r="A1061" s="15" t="s">
        <v>127</v>
      </c>
      <c r="B1061" s="137">
        <f>SUM(B1062+B1081+B1082)</f>
        <v>41666.67</v>
      </c>
      <c r="C1061" s="137">
        <f>SUM(C1062+C1081+C1082)</f>
        <v>41666.67</v>
      </c>
      <c r="D1061" s="137">
        <f aca="true" t="shared" si="186" ref="D1061:M1061">SUM(D1062+D1081+D1082)</f>
        <v>41666.67</v>
      </c>
      <c r="E1061" s="137">
        <f t="shared" si="186"/>
        <v>41666.67</v>
      </c>
      <c r="F1061" s="137">
        <f t="shared" si="186"/>
        <v>41666.67</v>
      </c>
      <c r="G1061" s="137">
        <f t="shared" si="186"/>
        <v>41666.67</v>
      </c>
      <c r="H1061" s="137">
        <f t="shared" si="186"/>
        <v>41666.67</v>
      </c>
      <c r="I1061" s="137">
        <f t="shared" si="186"/>
        <v>41666.67</v>
      </c>
      <c r="J1061" s="137">
        <f t="shared" si="186"/>
        <v>41666.67</v>
      </c>
      <c r="K1061" s="137">
        <f t="shared" si="186"/>
        <v>41666.67</v>
      </c>
      <c r="L1061" s="137">
        <f t="shared" si="186"/>
        <v>41666.67</v>
      </c>
      <c r="M1061" s="137">
        <f t="shared" si="186"/>
        <v>41666.67</v>
      </c>
      <c r="N1061" s="20">
        <f t="shared" si="177"/>
        <v>500000.03999999986</v>
      </c>
      <c r="P1061" s="76"/>
      <c r="Q1061" s="68"/>
      <c r="R1061" s="117"/>
      <c r="S1061" s="117"/>
      <c r="T1061" s="117"/>
      <c r="U1061" s="117"/>
      <c r="V1061" s="117"/>
      <c r="W1061" s="117"/>
      <c r="X1061" s="117"/>
      <c r="Y1061" s="117"/>
      <c r="Z1061" s="117"/>
      <c r="AA1061" s="117"/>
      <c r="AB1061" s="117"/>
      <c r="AC1061" s="117"/>
      <c r="AD1061" s="117"/>
      <c r="AE1061" s="117"/>
      <c r="AF1061" s="117"/>
      <c r="AG1061" s="117"/>
      <c r="AH1061" s="117"/>
    </row>
    <row r="1062" spans="1:34" s="28" customFormat="1" ht="12" customHeight="1">
      <c r="A1062" s="3" t="s">
        <v>41</v>
      </c>
      <c r="B1062" s="136">
        <v>41666.67</v>
      </c>
      <c r="C1062" s="136">
        <v>41666.67</v>
      </c>
      <c r="D1062" s="136">
        <v>41666.67</v>
      </c>
      <c r="E1062" s="136">
        <v>41666.67</v>
      </c>
      <c r="F1062" s="136">
        <v>41666.67</v>
      </c>
      <c r="G1062" s="136">
        <v>41666.67</v>
      </c>
      <c r="H1062" s="136">
        <v>41666.67</v>
      </c>
      <c r="I1062" s="136">
        <v>41666.67</v>
      </c>
      <c r="J1062" s="136">
        <v>41666.67</v>
      </c>
      <c r="K1062" s="136">
        <v>41666.67</v>
      </c>
      <c r="L1062" s="136">
        <v>41666.67</v>
      </c>
      <c r="M1062" s="136">
        <v>41666.67</v>
      </c>
      <c r="N1062" s="19">
        <f t="shared" si="177"/>
        <v>500000.03999999986</v>
      </c>
      <c r="P1062" s="76"/>
      <c r="Q1062" s="68"/>
      <c r="R1062" s="117"/>
      <c r="S1062" s="117"/>
      <c r="T1062" s="117"/>
      <c r="U1062" s="117"/>
      <c r="V1062" s="117"/>
      <c r="W1062" s="117"/>
      <c r="X1062" s="117"/>
      <c r="Y1062" s="117"/>
      <c r="Z1062" s="117"/>
      <c r="AA1062" s="117"/>
      <c r="AB1062" s="117"/>
      <c r="AC1062" s="117"/>
      <c r="AD1062" s="117"/>
      <c r="AE1062" s="117"/>
      <c r="AF1062" s="117"/>
      <c r="AG1062" s="117"/>
      <c r="AH1062" s="117"/>
    </row>
    <row r="1063" spans="1:34" s="28" customFormat="1" ht="12" customHeight="1" hidden="1">
      <c r="A1063" s="3" t="s">
        <v>236</v>
      </c>
      <c r="B1063" s="136"/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36"/>
      <c r="M1063" s="136"/>
      <c r="N1063" s="19">
        <f t="shared" si="177"/>
        <v>0</v>
      </c>
      <c r="P1063" s="76"/>
      <c r="Q1063" s="68"/>
      <c r="R1063" s="117"/>
      <c r="S1063" s="117"/>
      <c r="T1063" s="117"/>
      <c r="U1063" s="117"/>
      <c r="V1063" s="117"/>
      <c r="W1063" s="117"/>
      <c r="X1063" s="117"/>
      <c r="Y1063" s="117"/>
      <c r="Z1063" s="117"/>
      <c r="AA1063" s="117"/>
      <c r="AB1063" s="117"/>
      <c r="AC1063" s="117"/>
      <c r="AD1063" s="117"/>
      <c r="AE1063" s="117"/>
      <c r="AF1063" s="117"/>
      <c r="AG1063" s="117"/>
      <c r="AH1063" s="117"/>
    </row>
    <row r="1064" spans="1:34" s="28" customFormat="1" ht="12" customHeight="1" hidden="1">
      <c r="A1064" s="3" t="s">
        <v>237</v>
      </c>
      <c r="B1064" s="136"/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36"/>
      <c r="M1064" s="136"/>
      <c r="N1064" s="19">
        <f t="shared" si="177"/>
        <v>0</v>
      </c>
      <c r="P1064" s="76"/>
      <c r="Q1064" s="68"/>
      <c r="R1064" s="117"/>
      <c r="S1064" s="117"/>
      <c r="T1064" s="117"/>
      <c r="U1064" s="117"/>
      <c r="V1064" s="117"/>
      <c r="W1064" s="117"/>
      <c r="X1064" s="117"/>
      <c r="Y1064" s="117"/>
      <c r="Z1064" s="117"/>
      <c r="AA1064" s="117"/>
      <c r="AB1064" s="117"/>
      <c r="AC1064" s="117"/>
      <c r="AD1064" s="117"/>
      <c r="AE1064" s="117"/>
      <c r="AF1064" s="117"/>
      <c r="AG1064" s="117"/>
      <c r="AH1064" s="117"/>
    </row>
    <row r="1065" spans="1:34" s="28" customFormat="1" ht="12" customHeight="1" hidden="1">
      <c r="A1065" s="3" t="s">
        <v>238</v>
      </c>
      <c r="B1065" s="136"/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36"/>
      <c r="M1065" s="136"/>
      <c r="N1065" s="19">
        <f aca="true" t="shared" si="187" ref="N1065:N1091">SUM(B1065:M1065)</f>
        <v>0</v>
      </c>
      <c r="P1065" s="76"/>
      <c r="Q1065" s="68"/>
      <c r="R1065" s="117"/>
      <c r="S1065" s="117"/>
      <c r="T1065" s="117"/>
      <c r="U1065" s="117"/>
      <c r="V1065" s="117"/>
      <c r="W1065" s="117"/>
      <c r="X1065" s="117"/>
      <c r="Y1065" s="117"/>
      <c r="Z1065" s="117"/>
      <c r="AA1065" s="117"/>
      <c r="AB1065" s="117"/>
      <c r="AC1065" s="117"/>
      <c r="AD1065" s="117"/>
      <c r="AE1065" s="117"/>
      <c r="AF1065" s="117"/>
      <c r="AG1065" s="117"/>
      <c r="AH1065" s="117"/>
    </row>
    <row r="1066" spans="1:34" s="28" customFormat="1" ht="12" customHeight="1" hidden="1">
      <c r="A1066" s="3" t="s">
        <v>240</v>
      </c>
      <c r="B1066" s="136"/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36"/>
      <c r="M1066" s="136"/>
      <c r="N1066" s="19">
        <f t="shared" si="187"/>
        <v>0</v>
      </c>
      <c r="P1066" s="76"/>
      <c r="Q1066" s="68"/>
      <c r="R1066" s="117"/>
      <c r="S1066" s="117"/>
      <c r="T1066" s="117"/>
      <c r="U1066" s="117"/>
      <c r="V1066" s="117"/>
      <c r="W1066" s="117"/>
      <c r="X1066" s="117"/>
      <c r="Y1066" s="117"/>
      <c r="Z1066" s="117"/>
      <c r="AA1066" s="117"/>
      <c r="AB1066" s="117"/>
      <c r="AC1066" s="117"/>
      <c r="AD1066" s="117"/>
      <c r="AE1066" s="117"/>
      <c r="AF1066" s="117"/>
      <c r="AG1066" s="117"/>
      <c r="AH1066" s="117"/>
    </row>
    <row r="1067" spans="1:34" s="28" customFormat="1" ht="12" customHeight="1" hidden="1">
      <c r="A1067" s="3" t="s">
        <v>241</v>
      </c>
      <c r="B1067" s="136"/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36"/>
      <c r="M1067" s="136"/>
      <c r="N1067" s="19">
        <f t="shared" si="187"/>
        <v>0</v>
      </c>
      <c r="P1067" s="76"/>
      <c r="Q1067" s="68"/>
      <c r="R1067" s="117"/>
      <c r="S1067" s="117"/>
      <c r="T1067" s="117"/>
      <c r="U1067" s="117"/>
      <c r="V1067" s="117"/>
      <c r="W1067" s="117"/>
      <c r="X1067" s="117"/>
      <c r="Y1067" s="117"/>
      <c r="Z1067" s="117"/>
      <c r="AA1067" s="117"/>
      <c r="AB1067" s="117"/>
      <c r="AC1067" s="117"/>
      <c r="AD1067" s="117"/>
      <c r="AE1067" s="117"/>
      <c r="AF1067" s="117"/>
      <c r="AG1067" s="117"/>
      <c r="AH1067" s="117"/>
    </row>
    <row r="1068" spans="1:34" s="28" customFormat="1" ht="12" customHeight="1" hidden="1">
      <c r="A1068" s="3" t="s">
        <v>243</v>
      </c>
      <c r="B1068" s="136"/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  <c r="M1068" s="136"/>
      <c r="N1068" s="19">
        <f t="shared" si="187"/>
        <v>0</v>
      </c>
      <c r="P1068" s="76"/>
      <c r="Q1068" s="68"/>
      <c r="R1068" s="117"/>
      <c r="S1068" s="117"/>
      <c r="T1068" s="117"/>
      <c r="U1068" s="117"/>
      <c r="V1068" s="117"/>
      <c r="W1068" s="117"/>
      <c r="X1068" s="117"/>
      <c r="Y1068" s="117"/>
      <c r="Z1068" s="117"/>
      <c r="AA1068" s="117"/>
      <c r="AB1068" s="117"/>
      <c r="AC1068" s="117"/>
      <c r="AD1068" s="117"/>
      <c r="AE1068" s="117"/>
      <c r="AF1068" s="117"/>
      <c r="AG1068" s="117"/>
      <c r="AH1068" s="117"/>
    </row>
    <row r="1069" spans="1:34" s="28" customFormat="1" ht="12" customHeight="1" hidden="1">
      <c r="A1069" s="3" t="s">
        <v>244</v>
      </c>
      <c r="B1069" s="136"/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  <c r="M1069" s="136"/>
      <c r="N1069" s="19">
        <f t="shared" si="187"/>
        <v>0</v>
      </c>
      <c r="P1069" s="76"/>
      <c r="Q1069" s="68"/>
      <c r="R1069" s="117"/>
      <c r="S1069" s="117"/>
      <c r="T1069" s="117"/>
      <c r="U1069" s="117"/>
      <c r="V1069" s="117"/>
      <c r="W1069" s="117"/>
      <c r="X1069" s="117"/>
      <c r="Y1069" s="117"/>
      <c r="Z1069" s="117"/>
      <c r="AA1069" s="117"/>
      <c r="AB1069" s="117"/>
      <c r="AC1069" s="117"/>
      <c r="AD1069" s="117"/>
      <c r="AE1069" s="117"/>
      <c r="AF1069" s="117"/>
      <c r="AG1069" s="117"/>
      <c r="AH1069" s="117"/>
    </row>
    <row r="1070" spans="1:34" s="28" customFormat="1" ht="12" customHeight="1" hidden="1">
      <c r="A1070" s="3" t="s">
        <v>245</v>
      </c>
      <c r="B1070" s="136"/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36"/>
      <c r="M1070" s="136"/>
      <c r="N1070" s="19">
        <f t="shared" si="187"/>
        <v>0</v>
      </c>
      <c r="P1070" s="76"/>
      <c r="Q1070" s="68"/>
      <c r="R1070" s="117"/>
      <c r="S1070" s="117"/>
      <c r="T1070" s="117"/>
      <c r="U1070" s="117"/>
      <c r="V1070" s="117"/>
      <c r="W1070" s="117"/>
      <c r="X1070" s="117"/>
      <c r="Y1070" s="117"/>
      <c r="Z1070" s="117"/>
      <c r="AA1070" s="117"/>
      <c r="AB1070" s="117"/>
      <c r="AC1070" s="117"/>
      <c r="AD1070" s="117"/>
      <c r="AE1070" s="117"/>
      <c r="AF1070" s="117"/>
      <c r="AG1070" s="117"/>
      <c r="AH1070" s="117"/>
    </row>
    <row r="1071" spans="1:34" s="24" customFormat="1" ht="12" customHeight="1" hidden="1">
      <c r="A1071" s="3" t="s">
        <v>246</v>
      </c>
      <c r="B1071" s="136"/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  <c r="M1071" s="136"/>
      <c r="N1071" s="19">
        <f t="shared" si="187"/>
        <v>0</v>
      </c>
      <c r="O1071" s="28"/>
      <c r="P1071" s="76">
        <f>SUM(B322:I322)</f>
        <v>0</v>
      </c>
      <c r="Q1071" s="69"/>
      <c r="R1071" s="75"/>
      <c r="S1071" s="75"/>
      <c r="T1071" s="75"/>
      <c r="U1071" s="75"/>
      <c r="V1071" s="75"/>
      <c r="W1071" s="75"/>
      <c r="X1071" s="75"/>
      <c r="Y1071" s="75"/>
      <c r="Z1071" s="75"/>
      <c r="AA1071" s="75"/>
      <c r="AB1071" s="75"/>
      <c r="AC1071" s="75"/>
      <c r="AD1071" s="75"/>
      <c r="AE1071" s="75"/>
      <c r="AF1071" s="75"/>
      <c r="AG1071" s="75"/>
      <c r="AH1071" s="75"/>
    </row>
    <row r="1072" spans="1:34" s="24" customFormat="1" ht="12" customHeight="1" hidden="1">
      <c r="A1072" s="3" t="s">
        <v>247</v>
      </c>
      <c r="B1072" s="136"/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36"/>
      <c r="M1072" s="136"/>
      <c r="N1072" s="19">
        <f t="shared" si="187"/>
        <v>0</v>
      </c>
      <c r="P1072" s="76">
        <f>SUM(B1079:I1079)</f>
        <v>0</v>
      </c>
      <c r="Q1072" s="69"/>
      <c r="R1072" s="75"/>
      <c r="S1072" s="75"/>
      <c r="T1072" s="75"/>
      <c r="U1072" s="75"/>
      <c r="V1072" s="75"/>
      <c r="W1072" s="75"/>
      <c r="X1072" s="75"/>
      <c r="Y1072" s="75"/>
      <c r="Z1072" s="75"/>
      <c r="AA1072" s="75"/>
      <c r="AB1072" s="75"/>
      <c r="AC1072" s="75"/>
      <c r="AD1072" s="75"/>
      <c r="AE1072" s="75"/>
      <c r="AF1072" s="75"/>
      <c r="AG1072" s="75"/>
      <c r="AH1072" s="75"/>
    </row>
    <row r="1073" spans="1:34" s="28" customFormat="1" ht="12" customHeight="1" hidden="1">
      <c r="A1073" s="3" t="s">
        <v>299</v>
      </c>
      <c r="B1073" s="136"/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36"/>
      <c r="M1073" s="136"/>
      <c r="N1073" s="19">
        <f t="shared" si="187"/>
        <v>0</v>
      </c>
      <c r="O1073" s="24"/>
      <c r="P1073" s="65">
        <f>SUM(B1081:I1081)</f>
        <v>0</v>
      </c>
      <c r="Q1073" s="68"/>
      <c r="R1073" s="117"/>
      <c r="S1073" s="117">
        <f>N1084</f>
        <v>120893.68</v>
      </c>
      <c r="T1073" s="117"/>
      <c r="U1073" s="117"/>
      <c r="V1073" s="117"/>
      <c r="W1073" s="117"/>
      <c r="X1073" s="117"/>
      <c r="Y1073" s="117"/>
      <c r="Z1073" s="117"/>
      <c r="AA1073" s="117"/>
      <c r="AB1073" s="117"/>
      <c r="AC1073" s="117"/>
      <c r="AD1073" s="117"/>
      <c r="AE1073" s="117"/>
      <c r="AF1073" s="117"/>
      <c r="AG1073" s="117"/>
      <c r="AH1073" s="117"/>
    </row>
    <row r="1074" spans="1:34" s="28" customFormat="1" ht="12" customHeight="1" hidden="1">
      <c r="A1074" s="3" t="s">
        <v>249</v>
      </c>
      <c r="B1074" s="136"/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36"/>
      <c r="M1074" s="136"/>
      <c r="N1074" s="19">
        <f t="shared" si="187"/>
        <v>0</v>
      </c>
      <c r="P1074" s="65"/>
      <c r="Q1074" s="68"/>
      <c r="R1074" s="117"/>
      <c r="S1074" s="117"/>
      <c r="T1074" s="117"/>
      <c r="U1074" s="117"/>
      <c r="V1074" s="117"/>
      <c r="W1074" s="117"/>
      <c r="X1074" s="117"/>
      <c r="Y1074" s="117"/>
      <c r="Z1074" s="117"/>
      <c r="AA1074" s="117"/>
      <c r="AB1074" s="117"/>
      <c r="AC1074" s="117"/>
      <c r="AD1074" s="117"/>
      <c r="AE1074" s="117"/>
      <c r="AF1074" s="117"/>
      <c r="AG1074" s="117"/>
      <c r="AH1074" s="117"/>
    </row>
    <row r="1075" spans="1:34" s="28" customFormat="1" ht="12" customHeight="1" hidden="1">
      <c r="A1075" s="3" t="s">
        <v>250</v>
      </c>
      <c r="B1075" s="136"/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  <c r="M1075" s="136"/>
      <c r="N1075" s="19">
        <f t="shared" si="187"/>
        <v>0</v>
      </c>
      <c r="P1075" s="65"/>
      <c r="Q1075" s="68"/>
      <c r="R1075" s="117"/>
      <c r="S1075" s="117"/>
      <c r="T1075" s="117"/>
      <c r="U1075" s="117"/>
      <c r="V1075" s="117"/>
      <c r="W1075" s="117"/>
      <c r="X1075" s="117"/>
      <c r="Y1075" s="117"/>
      <c r="Z1075" s="117"/>
      <c r="AA1075" s="117"/>
      <c r="AB1075" s="117"/>
      <c r="AC1075" s="117"/>
      <c r="AD1075" s="117"/>
      <c r="AE1075" s="117"/>
      <c r="AF1075" s="117"/>
      <c r="AG1075" s="117"/>
      <c r="AH1075" s="117"/>
    </row>
    <row r="1076" spans="1:34" s="28" customFormat="1" ht="12" customHeight="1" hidden="1">
      <c r="A1076" s="3" t="s">
        <v>251</v>
      </c>
      <c r="B1076" s="136"/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36"/>
      <c r="M1076" s="136"/>
      <c r="N1076" s="19">
        <f t="shared" si="187"/>
        <v>0</v>
      </c>
      <c r="P1076" s="65"/>
      <c r="Q1076" s="68"/>
      <c r="R1076" s="117"/>
      <c r="S1076" s="117"/>
      <c r="T1076" s="117"/>
      <c r="U1076" s="117"/>
      <c r="V1076" s="117"/>
      <c r="W1076" s="117"/>
      <c r="X1076" s="117"/>
      <c r="Y1076" s="117"/>
      <c r="Z1076" s="117"/>
      <c r="AA1076" s="117"/>
      <c r="AB1076" s="117"/>
      <c r="AC1076" s="117"/>
      <c r="AD1076" s="117"/>
      <c r="AE1076" s="117"/>
      <c r="AF1076" s="117"/>
      <c r="AG1076" s="117"/>
      <c r="AH1076" s="117"/>
    </row>
    <row r="1077" spans="1:34" s="28" customFormat="1" ht="12" customHeight="1" hidden="1">
      <c r="A1077" s="3" t="s">
        <v>252</v>
      </c>
      <c r="B1077" s="136"/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6"/>
      <c r="M1077" s="136"/>
      <c r="N1077" s="19">
        <f t="shared" si="187"/>
        <v>0</v>
      </c>
      <c r="P1077" s="65"/>
      <c r="Q1077" s="68"/>
      <c r="R1077" s="117"/>
      <c r="S1077" s="117"/>
      <c r="T1077" s="117"/>
      <c r="U1077" s="117"/>
      <c r="V1077" s="117"/>
      <c r="W1077" s="117"/>
      <c r="X1077" s="117"/>
      <c r="Y1077" s="117"/>
      <c r="Z1077" s="117"/>
      <c r="AA1077" s="117"/>
      <c r="AB1077" s="117"/>
      <c r="AC1077" s="117"/>
      <c r="AD1077" s="117"/>
      <c r="AE1077" s="117"/>
      <c r="AF1077" s="117"/>
      <c r="AG1077" s="117"/>
      <c r="AH1077" s="117"/>
    </row>
    <row r="1078" spans="1:34" s="28" customFormat="1" ht="12" customHeight="1" hidden="1">
      <c r="A1078" s="3" t="s">
        <v>305</v>
      </c>
      <c r="B1078" s="136"/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36"/>
      <c r="M1078" s="136"/>
      <c r="N1078" s="19">
        <f t="shared" si="187"/>
        <v>0</v>
      </c>
      <c r="P1078" s="65"/>
      <c r="Q1078" s="68"/>
      <c r="R1078" s="117"/>
      <c r="S1078" s="117"/>
      <c r="T1078" s="117"/>
      <c r="U1078" s="117"/>
      <c r="V1078" s="117"/>
      <c r="W1078" s="117"/>
      <c r="X1078" s="117"/>
      <c r="Y1078" s="117"/>
      <c r="Z1078" s="117"/>
      <c r="AA1078" s="117"/>
      <c r="AB1078" s="117"/>
      <c r="AC1078" s="117"/>
      <c r="AD1078" s="117"/>
      <c r="AE1078" s="117"/>
      <c r="AF1078" s="117"/>
      <c r="AG1078" s="117"/>
      <c r="AH1078" s="117"/>
    </row>
    <row r="1079" spans="1:34" s="28" customFormat="1" ht="12" customHeight="1" hidden="1">
      <c r="A1079" s="3" t="s">
        <v>327</v>
      </c>
      <c r="B1079" s="136"/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  <c r="M1079" s="136"/>
      <c r="N1079" s="19">
        <f t="shared" si="187"/>
        <v>0</v>
      </c>
      <c r="P1079" s="65"/>
      <c r="Q1079" s="68"/>
      <c r="R1079" s="117"/>
      <c r="S1079" s="117"/>
      <c r="T1079" s="117"/>
      <c r="U1079" s="117"/>
      <c r="V1079" s="117"/>
      <c r="W1079" s="117"/>
      <c r="X1079" s="117"/>
      <c r="Y1079" s="117"/>
      <c r="Z1079" s="117"/>
      <c r="AA1079" s="117"/>
      <c r="AB1079" s="117"/>
      <c r="AC1079" s="117"/>
      <c r="AD1079" s="117"/>
      <c r="AE1079" s="117"/>
      <c r="AF1079" s="117"/>
      <c r="AG1079" s="117"/>
      <c r="AH1079" s="117"/>
    </row>
    <row r="1080" spans="1:34" s="28" customFormat="1" ht="12" customHeight="1" hidden="1">
      <c r="A1080" s="3" t="s">
        <v>325</v>
      </c>
      <c r="B1080" s="136"/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  <c r="M1080" s="136"/>
      <c r="N1080" s="19">
        <f t="shared" si="187"/>
        <v>0</v>
      </c>
      <c r="P1080" s="65"/>
      <c r="Q1080" s="68"/>
      <c r="R1080" s="117"/>
      <c r="S1080" s="117"/>
      <c r="T1080" s="117"/>
      <c r="U1080" s="117"/>
      <c r="V1080" s="117"/>
      <c r="W1080" s="117"/>
      <c r="X1080" s="117"/>
      <c r="Y1080" s="117"/>
      <c r="Z1080" s="117"/>
      <c r="AA1080" s="117"/>
      <c r="AB1080" s="117"/>
      <c r="AC1080" s="117"/>
      <c r="AD1080" s="117"/>
      <c r="AE1080" s="117"/>
      <c r="AF1080" s="117"/>
      <c r="AG1080" s="117"/>
      <c r="AH1080" s="117"/>
    </row>
    <row r="1081" spans="1:34" s="28" customFormat="1" ht="12" customHeight="1" hidden="1">
      <c r="A1081" s="3" t="s">
        <v>357</v>
      </c>
      <c r="B1081" s="136"/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  <c r="M1081" s="136"/>
      <c r="N1081" s="19">
        <f t="shared" si="187"/>
        <v>0</v>
      </c>
      <c r="P1081" s="65"/>
      <c r="Q1081" s="68"/>
      <c r="R1081" s="117"/>
      <c r="S1081" s="117"/>
      <c r="T1081" s="117"/>
      <c r="U1081" s="117"/>
      <c r="V1081" s="117"/>
      <c r="W1081" s="117"/>
      <c r="X1081" s="117"/>
      <c r="Y1081" s="117"/>
      <c r="Z1081" s="117"/>
      <c r="AA1081" s="117"/>
      <c r="AB1081" s="117"/>
      <c r="AC1081" s="117"/>
      <c r="AD1081" s="117"/>
      <c r="AE1081" s="117"/>
      <c r="AF1081" s="117"/>
      <c r="AG1081" s="117"/>
      <c r="AH1081" s="117"/>
    </row>
    <row r="1082" spans="1:34" s="28" customFormat="1" ht="12" customHeight="1">
      <c r="A1082" s="3" t="s">
        <v>128</v>
      </c>
      <c r="B1082" s="136"/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36"/>
      <c r="M1082" s="136"/>
      <c r="N1082" s="19">
        <f t="shared" si="187"/>
        <v>0</v>
      </c>
      <c r="P1082" s="65"/>
      <c r="Q1082" s="68"/>
      <c r="R1082" s="117"/>
      <c r="S1082" s="117"/>
      <c r="T1082" s="117"/>
      <c r="U1082" s="117"/>
      <c r="V1082" s="117"/>
      <c r="W1082" s="117"/>
      <c r="X1082" s="117"/>
      <c r="Y1082" s="117"/>
      <c r="Z1082" s="117"/>
      <c r="AA1082" s="117"/>
      <c r="AB1082" s="117"/>
      <c r="AC1082" s="117"/>
      <c r="AD1082" s="117"/>
      <c r="AE1082" s="117"/>
      <c r="AF1082" s="117"/>
      <c r="AG1082" s="117"/>
      <c r="AH1082" s="117"/>
    </row>
    <row r="1083" spans="1:34" s="28" customFormat="1" ht="12" hidden="1">
      <c r="A1083" s="15" t="s">
        <v>170</v>
      </c>
      <c r="B1083" s="136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19">
        <f t="shared" si="187"/>
        <v>0</v>
      </c>
      <c r="P1083" s="65">
        <f>SUM(B1091:I1091)</f>
        <v>0</v>
      </c>
      <c r="Q1083" s="68"/>
      <c r="R1083" s="117"/>
      <c r="S1083" s="117"/>
      <c r="T1083" s="117"/>
      <c r="U1083" s="117"/>
      <c r="V1083" s="117"/>
      <c r="W1083" s="117"/>
      <c r="X1083" s="117"/>
      <c r="Y1083" s="117"/>
      <c r="Z1083" s="117"/>
      <c r="AA1083" s="117"/>
      <c r="AB1083" s="117"/>
      <c r="AC1083" s="117"/>
      <c r="AD1083" s="117"/>
      <c r="AE1083" s="117"/>
      <c r="AF1083" s="117"/>
      <c r="AG1083" s="117"/>
      <c r="AH1083" s="117"/>
    </row>
    <row r="1084" spans="1:34" s="24" customFormat="1" ht="12" customHeight="1" hidden="1">
      <c r="A1084" s="15" t="s">
        <v>130</v>
      </c>
      <c r="B1084" s="137">
        <f>SUM(B1085:B1093)</f>
        <v>0</v>
      </c>
      <c r="C1084" s="137">
        <f aca="true" t="shared" si="188" ref="C1084:M1084">SUM(C1085:C1093)</f>
        <v>0</v>
      </c>
      <c r="D1084" s="137">
        <f t="shared" si="188"/>
        <v>0</v>
      </c>
      <c r="E1084" s="137">
        <f t="shared" si="188"/>
        <v>0</v>
      </c>
      <c r="F1084" s="137">
        <f t="shared" si="188"/>
        <v>0</v>
      </c>
      <c r="G1084" s="137">
        <f t="shared" si="188"/>
        <v>0</v>
      </c>
      <c r="H1084" s="137">
        <f t="shared" si="188"/>
        <v>120893.68</v>
      </c>
      <c r="I1084" s="137">
        <f t="shared" si="188"/>
        <v>0</v>
      </c>
      <c r="J1084" s="137">
        <f t="shared" si="188"/>
        <v>0</v>
      </c>
      <c r="K1084" s="137">
        <f t="shared" si="188"/>
        <v>0</v>
      </c>
      <c r="L1084" s="137">
        <f t="shared" si="188"/>
        <v>0</v>
      </c>
      <c r="M1084" s="137">
        <f t="shared" si="188"/>
        <v>0</v>
      </c>
      <c r="N1084" s="20">
        <f t="shared" si="187"/>
        <v>120893.68</v>
      </c>
      <c r="O1084" s="28"/>
      <c r="P1084" s="76">
        <f>SUM(B1092:I1092)</f>
        <v>120893.68</v>
      </c>
      <c r="Q1084" s="69"/>
      <c r="R1084" s="75"/>
      <c r="S1084" s="75"/>
      <c r="T1084" s="75"/>
      <c r="U1084" s="75"/>
      <c r="V1084" s="75"/>
      <c r="W1084" s="75"/>
      <c r="X1084" s="75"/>
      <c r="Y1084" s="75"/>
      <c r="Z1084" s="75"/>
      <c r="AA1084" s="75"/>
      <c r="AB1084" s="75"/>
      <c r="AC1084" s="75"/>
      <c r="AD1084" s="75"/>
      <c r="AE1084" s="75"/>
      <c r="AF1084" s="75"/>
      <c r="AG1084" s="75"/>
      <c r="AH1084" s="75"/>
    </row>
    <row r="1085" spans="1:34" s="28" customFormat="1" ht="12" customHeight="1" hidden="1">
      <c r="A1085" s="3" t="s">
        <v>436</v>
      </c>
      <c r="B1085" s="136"/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36"/>
      <c r="M1085" s="136"/>
      <c r="N1085" s="19">
        <f t="shared" si="187"/>
        <v>0</v>
      </c>
      <c r="O1085" s="24"/>
      <c r="P1085" s="76" t="e">
        <f>SUM(#REF!)</f>
        <v>#REF!</v>
      </c>
      <c r="Q1085" s="68">
        <f>N1095/N39</f>
        <v>0</v>
      </c>
      <c r="R1085" s="117"/>
      <c r="S1085" s="117">
        <f>N1095</f>
        <v>0</v>
      </c>
      <c r="T1085" s="117"/>
      <c r="U1085" s="117"/>
      <c r="V1085" s="117"/>
      <c r="W1085" s="117"/>
      <c r="X1085" s="117"/>
      <c r="Y1085" s="117"/>
      <c r="Z1085" s="117"/>
      <c r="AA1085" s="117"/>
      <c r="AB1085" s="117"/>
      <c r="AC1085" s="117"/>
      <c r="AD1085" s="117"/>
      <c r="AE1085" s="117"/>
      <c r="AF1085" s="117"/>
      <c r="AG1085" s="117"/>
      <c r="AH1085" s="117"/>
    </row>
    <row r="1086" spans="1:34" s="24" customFormat="1" ht="12" customHeight="1" hidden="1">
      <c r="A1086" s="3" t="s">
        <v>432</v>
      </c>
      <c r="B1086" s="136"/>
      <c r="C1086" s="136"/>
      <c r="D1086" s="136"/>
      <c r="E1086" s="136"/>
      <c r="F1086" s="136"/>
      <c r="G1086" s="136"/>
      <c r="H1086" s="356"/>
      <c r="I1086" s="136"/>
      <c r="J1086" s="136"/>
      <c r="K1086" s="136"/>
      <c r="L1086" s="136"/>
      <c r="M1086" s="136"/>
      <c r="N1086" s="19">
        <f t="shared" si="187"/>
        <v>0</v>
      </c>
      <c r="O1086" s="28"/>
      <c r="P1086" s="76" t="e">
        <f>SUM(#REF!)</f>
        <v>#REF!</v>
      </c>
      <c r="Q1086" s="69"/>
      <c r="R1086" s="75"/>
      <c r="S1086" s="75"/>
      <c r="T1086" s="75"/>
      <c r="U1086" s="75"/>
      <c r="V1086" s="75"/>
      <c r="W1086" s="75"/>
      <c r="X1086" s="75"/>
      <c r="Y1086" s="75"/>
      <c r="Z1086" s="75"/>
      <c r="AA1086" s="75"/>
      <c r="AB1086" s="75"/>
      <c r="AC1086" s="75"/>
      <c r="AD1086" s="75"/>
      <c r="AE1086" s="75"/>
      <c r="AF1086" s="75"/>
      <c r="AG1086" s="75"/>
      <c r="AH1086" s="75"/>
    </row>
    <row r="1087" spans="1:34" s="24" customFormat="1" ht="12" customHeight="1" hidden="1">
      <c r="A1087" s="3" t="s">
        <v>438</v>
      </c>
      <c r="B1087" s="13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  <c r="M1087" s="136"/>
      <c r="N1087" s="19">
        <f t="shared" si="187"/>
        <v>0</v>
      </c>
      <c r="P1087" s="76">
        <f>SUM(B1094:I1094)</f>
        <v>0</v>
      </c>
      <c r="Q1087" s="69"/>
      <c r="R1087" s="75"/>
      <c r="S1087" s="75"/>
      <c r="T1087" s="75"/>
      <c r="U1087" s="75"/>
      <c r="V1087" s="75"/>
      <c r="W1087" s="75"/>
      <c r="X1087" s="75"/>
      <c r="Y1087" s="75"/>
      <c r="Z1087" s="75"/>
      <c r="AA1087" s="75"/>
      <c r="AB1087" s="75"/>
      <c r="AC1087" s="75"/>
      <c r="AD1087" s="75"/>
      <c r="AE1087" s="75"/>
      <c r="AF1087" s="75"/>
      <c r="AG1087" s="75"/>
      <c r="AH1087" s="75"/>
    </row>
    <row r="1088" spans="1:34" s="24" customFormat="1" ht="12" customHeight="1" hidden="1">
      <c r="A1088" s="3" t="s">
        <v>464</v>
      </c>
      <c r="B1088" s="13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  <c r="M1088" s="136"/>
      <c r="N1088" s="19">
        <f t="shared" si="187"/>
        <v>0</v>
      </c>
      <c r="P1088" s="76">
        <f>SUM(B1095:I1095)</f>
        <v>0</v>
      </c>
      <c r="Q1088" s="69"/>
      <c r="R1088" s="75"/>
      <c r="S1088" s="75"/>
      <c r="T1088" s="75"/>
      <c r="U1088" s="75"/>
      <c r="V1088" s="75"/>
      <c r="W1088" s="75"/>
      <c r="X1088" s="75"/>
      <c r="Y1088" s="75"/>
      <c r="Z1088" s="75"/>
      <c r="AA1088" s="75"/>
      <c r="AB1088" s="75"/>
      <c r="AC1088" s="75"/>
      <c r="AD1088" s="75"/>
      <c r="AE1088" s="75"/>
      <c r="AF1088" s="75"/>
      <c r="AG1088" s="75"/>
      <c r="AH1088" s="75"/>
    </row>
    <row r="1089" spans="1:34" s="233" customFormat="1" ht="12" customHeight="1" hidden="1">
      <c r="A1089" s="3" t="s">
        <v>433</v>
      </c>
      <c r="B1089" s="13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  <c r="M1089" s="136"/>
      <c r="N1089" s="19">
        <f t="shared" si="187"/>
        <v>0</v>
      </c>
      <c r="O1089" s="24"/>
      <c r="P1089" s="229">
        <f>SUM(B1096:I1096)</f>
        <v>0</v>
      </c>
      <c r="Q1089" s="231"/>
      <c r="R1089" s="232"/>
      <c r="S1089" s="232"/>
      <c r="T1089" s="232"/>
      <c r="U1089" s="232"/>
      <c r="V1089" s="232"/>
      <c r="W1089" s="232"/>
      <c r="X1089" s="232"/>
      <c r="Y1089" s="232"/>
      <c r="Z1089" s="232"/>
      <c r="AA1089" s="232"/>
      <c r="AB1089" s="232"/>
      <c r="AC1089" s="232"/>
      <c r="AD1089" s="232"/>
      <c r="AE1089" s="232"/>
      <c r="AF1089" s="232"/>
      <c r="AG1089" s="232"/>
      <c r="AH1089" s="232"/>
    </row>
    <row r="1090" spans="1:34" s="24" customFormat="1" ht="12" customHeight="1" hidden="1">
      <c r="A1090" s="3" t="s">
        <v>434</v>
      </c>
      <c r="B1090" s="136"/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36"/>
      <c r="M1090" s="136"/>
      <c r="N1090" s="19">
        <f t="shared" si="187"/>
        <v>0</v>
      </c>
      <c r="O1090" s="233"/>
      <c r="P1090" s="76"/>
      <c r="Q1090" s="69"/>
      <c r="R1090" s="75"/>
      <c r="S1090" s="75"/>
      <c r="T1090" s="75"/>
      <c r="U1090" s="75"/>
      <c r="V1090" s="75"/>
      <c r="W1090" s="75"/>
      <c r="X1090" s="75"/>
      <c r="Y1090" s="75"/>
      <c r="Z1090" s="75"/>
      <c r="AA1090" s="75"/>
      <c r="AB1090" s="75"/>
      <c r="AC1090" s="75"/>
      <c r="AD1090" s="75"/>
      <c r="AE1090" s="75"/>
      <c r="AF1090" s="75"/>
      <c r="AG1090" s="75"/>
      <c r="AH1090" s="75"/>
    </row>
    <row r="1091" spans="1:34" s="24" customFormat="1" ht="12" customHeight="1" hidden="1">
      <c r="A1091" s="3" t="s">
        <v>435</v>
      </c>
      <c r="B1091" s="136"/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36"/>
      <c r="M1091" s="136"/>
      <c r="N1091" s="19">
        <f t="shared" si="187"/>
        <v>0</v>
      </c>
      <c r="P1091" s="76">
        <f>SUM(B1098:I1098)</f>
        <v>0</v>
      </c>
      <c r="Q1091" s="69"/>
      <c r="R1091" s="75"/>
      <c r="S1091" s="75"/>
      <c r="T1091" s="75"/>
      <c r="U1091" s="75"/>
      <c r="V1091" s="75"/>
      <c r="W1091" s="75"/>
      <c r="X1091" s="75"/>
      <c r="Y1091" s="75"/>
      <c r="Z1091" s="75"/>
      <c r="AA1091" s="75"/>
      <c r="AB1091" s="75"/>
      <c r="AC1091" s="75"/>
      <c r="AD1091" s="75"/>
      <c r="AE1091" s="75"/>
      <c r="AF1091" s="75"/>
      <c r="AG1091" s="75"/>
      <c r="AH1091" s="75"/>
    </row>
    <row r="1092" spans="1:19" s="73" customFormat="1" ht="12" customHeight="1" hidden="1">
      <c r="A1092" s="15" t="s">
        <v>906</v>
      </c>
      <c r="B1092" s="137"/>
      <c r="C1092" s="137"/>
      <c r="D1092" s="137"/>
      <c r="E1092" s="137"/>
      <c r="F1092" s="137"/>
      <c r="G1092" s="137"/>
      <c r="H1092" s="137">
        <v>120893.68</v>
      </c>
      <c r="I1092" s="137"/>
      <c r="J1092" s="137"/>
      <c r="K1092" s="137"/>
      <c r="L1092" s="137"/>
      <c r="M1092" s="137"/>
      <c r="N1092" s="20"/>
      <c r="O1092" s="24"/>
      <c r="P1092" s="124"/>
      <c r="Q1092" s="299"/>
      <c r="R1092" s="300"/>
      <c r="S1092" s="300"/>
    </row>
    <row r="1093" spans="1:19" s="28" customFormat="1" ht="12" customHeight="1" hidden="1">
      <c r="A1093" s="3" t="s">
        <v>556</v>
      </c>
      <c r="B1093" s="136"/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36"/>
      <c r="M1093" s="136"/>
      <c r="N1093" s="19">
        <f>SUM(B1093:M1093)</f>
        <v>0</v>
      </c>
      <c r="O1093" s="261"/>
      <c r="P1093" s="65">
        <f>SUM(B1099:I1099)</f>
        <v>0</v>
      </c>
      <c r="Q1093" s="68"/>
      <c r="R1093" s="117"/>
      <c r="S1093" s="117">
        <f>N1102</f>
        <v>77737200</v>
      </c>
    </row>
    <row r="1094" spans="1:19" s="24" customFormat="1" ht="12" customHeight="1">
      <c r="A1094" s="306"/>
      <c r="B1094" s="136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19"/>
      <c r="O1094" s="28"/>
      <c r="P1094" s="76">
        <f>SUM(B1100:I1100)</f>
        <v>1609536244.5948002</v>
      </c>
      <c r="Q1094" s="69">
        <f>N1103/N39</f>
        <v>0.02994303161659344</v>
      </c>
      <c r="R1094" s="75"/>
      <c r="S1094" s="75"/>
    </row>
    <row r="1095" spans="1:19" s="24" customFormat="1" ht="12" customHeight="1">
      <c r="A1095" s="96" t="s">
        <v>129</v>
      </c>
      <c r="B1095" s="138">
        <f aca="true" t="shared" si="189" ref="B1095:M1095">SUM(B1096:B1098)</f>
        <v>0</v>
      </c>
      <c r="C1095" s="97">
        <f t="shared" si="189"/>
        <v>0</v>
      </c>
      <c r="D1095" s="97">
        <f t="shared" si="189"/>
        <v>0</v>
      </c>
      <c r="E1095" s="97">
        <f t="shared" si="189"/>
        <v>0</v>
      </c>
      <c r="F1095" s="97">
        <f t="shared" si="189"/>
        <v>0</v>
      </c>
      <c r="G1095" s="97">
        <f t="shared" si="189"/>
        <v>0</v>
      </c>
      <c r="H1095" s="97">
        <f t="shared" si="189"/>
        <v>0</v>
      </c>
      <c r="I1095" s="97">
        <f t="shared" si="189"/>
        <v>0</v>
      </c>
      <c r="J1095" s="97">
        <f t="shared" si="189"/>
        <v>0</v>
      </c>
      <c r="K1095" s="97">
        <f t="shared" si="189"/>
        <v>0</v>
      </c>
      <c r="L1095" s="97">
        <f t="shared" si="189"/>
        <v>0</v>
      </c>
      <c r="M1095" s="97">
        <f t="shared" si="189"/>
        <v>0</v>
      </c>
      <c r="N1095" s="98">
        <f>SUM(B1095:M1095)</f>
        <v>0</v>
      </c>
      <c r="P1095" s="76">
        <f>SUM(B1101:I1101)</f>
        <v>0</v>
      </c>
      <c r="Q1095" s="69"/>
      <c r="R1095" s="75"/>
      <c r="S1095" s="75"/>
    </row>
    <row r="1096" spans="1:19" s="24" customFormat="1" ht="12" customHeight="1">
      <c r="A1096" s="26"/>
      <c r="B1096" s="136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19"/>
      <c r="P1096" s="76">
        <f>SUM(B1102:I1102)</f>
        <v>51824800</v>
      </c>
      <c r="Q1096" s="69"/>
      <c r="R1096" s="75"/>
      <c r="S1096" s="75"/>
    </row>
    <row r="1097" spans="1:19" s="24" customFormat="1" ht="12" customHeight="1">
      <c r="A1097" s="3" t="s">
        <v>132</v>
      </c>
      <c r="B1097" s="136"/>
      <c r="C1097" s="159"/>
      <c r="D1097" s="159"/>
      <c r="E1097" s="352"/>
      <c r="F1097" s="4"/>
      <c r="G1097" s="4"/>
      <c r="H1097" s="4"/>
      <c r="I1097" s="4"/>
      <c r="J1097" s="159"/>
      <c r="K1097" s="4"/>
      <c r="L1097" s="4"/>
      <c r="M1097" s="4"/>
      <c r="N1097" s="19">
        <f>SUM(B1097:M1097)</f>
        <v>0</v>
      </c>
      <c r="P1097" s="76">
        <f>SUM(B1103:I1103)</f>
        <v>49624800</v>
      </c>
      <c r="Q1097" s="69"/>
      <c r="R1097" s="75"/>
      <c r="S1097" s="75"/>
    </row>
    <row r="1098" spans="1:19" s="24" customFormat="1" ht="12" customHeight="1">
      <c r="A1098" s="228" t="s">
        <v>317</v>
      </c>
      <c r="B1098" s="184"/>
      <c r="C1098" s="184"/>
      <c r="D1098" s="184"/>
      <c r="E1098" s="184"/>
      <c r="F1098" s="184"/>
      <c r="G1098" s="184"/>
      <c r="H1098" s="184"/>
      <c r="I1098" s="184"/>
      <c r="J1098" s="184"/>
      <c r="K1098" s="184"/>
      <c r="L1098" s="184"/>
      <c r="M1098" s="184"/>
      <c r="N1098" s="269">
        <f>SUM(B1098:M1098)</f>
        <v>0</v>
      </c>
      <c r="P1098" s="76">
        <f aca="true" t="shared" si="190" ref="P1098:P1103">SUM(B1106:I1106)</f>
        <v>0</v>
      </c>
      <c r="Q1098" s="69"/>
      <c r="R1098" s="75"/>
      <c r="S1098" s="75"/>
    </row>
    <row r="1099" spans="1:19" s="24" customFormat="1" ht="12" customHeight="1">
      <c r="A1099" s="306"/>
      <c r="B1099" s="136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19"/>
      <c r="O1099" s="34">
        <f>N1100-N30-N11-N13-N16</f>
        <v>2066535930.3155205</v>
      </c>
      <c r="P1099" s="80">
        <f>O1100/N10</f>
        <v>1.174412352173839</v>
      </c>
      <c r="Q1099" s="69">
        <f>N1100/P10</f>
        <v>1.1175677646586912</v>
      </c>
      <c r="R1099" s="75"/>
      <c r="S1099" s="75"/>
    </row>
    <row r="1100" spans="1:19" s="24" customFormat="1" ht="12" customHeight="1">
      <c r="A1100" s="96" t="s">
        <v>20</v>
      </c>
      <c r="B1100" s="138">
        <f aca="true" t="shared" si="191" ref="B1100:N1100">B1095+B1033+B696+B376+B43</f>
        <v>194268840.45800003</v>
      </c>
      <c r="C1100" s="97">
        <f t="shared" si="191"/>
        <v>198794641.12800002</v>
      </c>
      <c r="D1100" s="97">
        <f t="shared" si="191"/>
        <v>191598493.12800002</v>
      </c>
      <c r="E1100" s="97">
        <f t="shared" si="191"/>
        <v>195328391.45800003</v>
      </c>
      <c r="F1100" s="97">
        <f t="shared" si="191"/>
        <v>201844313.95800003</v>
      </c>
      <c r="G1100" s="97">
        <f t="shared" si="191"/>
        <v>246843175.86880004</v>
      </c>
      <c r="H1100" s="97">
        <f t="shared" si="191"/>
        <v>192480297.638</v>
      </c>
      <c r="I1100" s="97">
        <f t="shared" si="191"/>
        <v>188378090.95800003</v>
      </c>
      <c r="J1100" s="97">
        <f t="shared" si="191"/>
        <v>190674958.95800003</v>
      </c>
      <c r="K1100" s="97">
        <f t="shared" si="191"/>
        <v>190545396.06800002</v>
      </c>
      <c r="L1100" s="97">
        <f t="shared" si="191"/>
        <v>189469302.06800002</v>
      </c>
      <c r="M1100" s="97">
        <f t="shared" si="191"/>
        <v>220043706.43672</v>
      </c>
      <c r="N1100" s="97">
        <f t="shared" si="191"/>
        <v>2400269608.1255207</v>
      </c>
      <c r="O1100" s="34">
        <f>N1100-N1046</f>
        <v>1700269608.0455203</v>
      </c>
      <c r="P1100" s="76">
        <f t="shared" si="190"/>
        <v>0</v>
      </c>
      <c r="Q1100" s="69"/>
      <c r="R1100" s="75"/>
      <c r="S1100" s="75"/>
    </row>
    <row r="1101" spans="1:19" s="24" customFormat="1" ht="12" customHeight="1">
      <c r="A1101" s="27"/>
      <c r="B1101" s="140"/>
      <c r="C1101" s="123"/>
      <c r="D1101" s="123"/>
      <c r="E1101" s="123"/>
      <c r="F1101" s="123"/>
      <c r="G1101" s="123"/>
      <c r="H1101" s="123"/>
      <c r="I1101" s="123"/>
      <c r="J1101" s="123"/>
      <c r="K1101" s="123"/>
      <c r="L1101" s="123"/>
      <c r="M1101" s="123"/>
      <c r="N1101" s="123"/>
      <c r="P1101" s="76">
        <f t="shared" si="190"/>
        <v>0</v>
      </c>
      <c r="Q1101" s="69"/>
      <c r="R1101" s="75"/>
      <c r="S1101" s="75"/>
    </row>
    <row r="1102" spans="1:19" s="24" customFormat="1" ht="12" customHeight="1">
      <c r="A1102" s="15" t="s">
        <v>42</v>
      </c>
      <c r="B1102" s="137">
        <f aca="true" t="shared" si="192" ref="B1102:M1102">SUM(B1103:B1110)</f>
        <v>6478100</v>
      </c>
      <c r="C1102" s="137">
        <f t="shared" si="192"/>
        <v>6478100</v>
      </c>
      <c r="D1102" s="137">
        <f t="shared" si="192"/>
        <v>6478100</v>
      </c>
      <c r="E1102" s="137">
        <f t="shared" si="192"/>
        <v>6478100</v>
      </c>
      <c r="F1102" s="137">
        <f t="shared" si="192"/>
        <v>6478100</v>
      </c>
      <c r="G1102" s="137">
        <f t="shared" si="192"/>
        <v>6478100</v>
      </c>
      <c r="H1102" s="137">
        <f t="shared" si="192"/>
        <v>6478100</v>
      </c>
      <c r="I1102" s="137">
        <f t="shared" si="192"/>
        <v>6478100</v>
      </c>
      <c r="J1102" s="137">
        <f t="shared" si="192"/>
        <v>6478100</v>
      </c>
      <c r="K1102" s="137">
        <f t="shared" si="192"/>
        <v>6478100</v>
      </c>
      <c r="L1102" s="137">
        <f t="shared" si="192"/>
        <v>6478100</v>
      </c>
      <c r="M1102" s="137">
        <f t="shared" si="192"/>
        <v>6478100</v>
      </c>
      <c r="N1102" s="123">
        <f>SUM(B1102:M1102)</f>
        <v>77737200</v>
      </c>
      <c r="O1102" s="34"/>
      <c r="P1102" s="76">
        <f t="shared" si="190"/>
        <v>2200000</v>
      </c>
      <c r="Q1102" s="69"/>
      <c r="R1102" s="75"/>
      <c r="S1102" s="75"/>
    </row>
    <row r="1103" spans="1:19" s="24" customFormat="1" ht="12" customHeight="1" hidden="1">
      <c r="A1103" s="26" t="s">
        <v>144</v>
      </c>
      <c r="B1103" s="136">
        <v>6203100</v>
      </c>
      <c r="C1103" s="136">
        <v>6203100</v>
      </c>
      <c r="D1103" s="136">
        <v>6203100</v>
      </c>
      <c r="E1103" s="136">
        <v>6203100</v>
      </c>
      <c r="F1103" s="136">
        <v>6203100</v>
      </c>
      <c r="G1103" s="136">
        <v>6203100</v>
      </c>
      <c r="H1103" s="136">
        <v>6203100</v>
      </c>
      <c r="I1103" s="136">
        <v>6203100</v>
      </c>
      <c r="J1103" s="136">
        <v>6203100</v>
      </c>
      <c r="K1103" s="136">
        <v>6203100</v>
      </c>
      <c r="L1103" s="136">
        <v>6203100</v>
      </c>
      <c r="M1103" s="136">
        <v>6203100</v>
      </c>
      <c r="N1103" s="19">
        <f>SUM(B1103:M1103)</f>
        <v>74437200</v>
      </c>
      <c r="P1103" s="76">
        <f t="shared" si="190"/>
        <v>0</v>
      </c>
      <c r="Q1103" s="69"/>
      <c r="R1103" s="75"/>
      <c r="S1103" s="75"/>
    </row>
    <row r="1104" spans="1:19" s="24" customFormat="1" ht="12" customHeight="1" hidden="1">
      <c r="A1104" s="26" t="s">
        <v>133</v>
      </c>
      <c r="B1104" s="136"/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  <c r="M1104" s="136"/>
      <c r="N1104" s="19">
        <f>SUM(B1104:M1104)</f>
        <v>0</v>
      </c>
      <c r="P1104" s="76"/>
      <c r="Q1104" s="69"/>
      <c r="R1104" s="75"/>
      <c r="S1104" s="75"/>
    </row>
    <row r="1105" spans="1:19" s="28" customFormat="1" ht="13.5" customHeight="1" hidden="1">
      <c r="A1105" s="26" t="s">
        <v>134</v>
      </c>
      <c r="B1105" s="136"/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  <c r="M1105" s="136"/>
      <c r="N1105" s="19"/>
      <c r="O1105" s="24"/>
      <c r="P1105" s="76">
        <f>SUM(B1113:I1113)</f>
        <v>0</v>
      </c>
      <c r="Q1105" s="68">
        <f>N1116/N39</f>
        <v>0</v>
      </c>
      <c r="R1105" s="117"/>
      <c r="S1105" s="117"/>
    </row>
    <row r="1106" spans="1:19" s="24" customFormat="1" ht="12" customHeight="1" hidden="1">
      <c r="A1106" s="26" t="s">
        <v>135</v>
      </c>
      <c r="B1106" s="136"/>
      <c r="C1106" s="136"/>
      <c r="D1106" s="136"/>
      <c r="E1106" s="136"/>
      <c r="F1106" s="136"/>
      <c r="G1106" s="136"/>
      <c r="H1106" s="136"/>
      <c r="I1106" s="136"/>
      <c r="J1106" s="136"/>
      <c r="K1106" s="136"/>
      <c r="L1106" s="136"/>
      <c r="M1106" s="136"/>
      <c r="N1106" s="19">
        <f aca="true" t="shared" si="193" ref="N1106:N1114">SUM(B1106:M1106)</f>
        <v>0</v>
      </c>
      <c r="O1106" s="28"/>
      <c r="P1106" s="76">
        <f>SUM(B1114:I1114)</f>
        <v>0</v>
      </c>
      <c r="Q1106" s="69"/>
      <c r="R1106" s="75"/>
      <c r="S1106" s="75"/>
    </row>
    <row r="1107" spans="1:20" s="28" customFormat="1" ht="12" customHeight="1" hidden="1">
      <c r="A1107" s="26" t="s">
        <v>136</v>
      </c>
      <c r="B1107" s="136"/>
      <c r="C1107" s="136"/>
      <c r="D1107" s="136"/>
      <c r="E1107" s="136"/>
      <c r="F1107" s="136"/>
      <c r="G1107" s="136"/>
      <c r="H1107" s="136"/>
      <c r="I1107" s="136"/>
      <c r="J1107" s="136"/>
      <c r="K1107" s="136"/>
      <c r="L1107" s="136"/>
      <c r="M1107" s="136"/>
      <c r="N1107" s="19">
        <f t="shared" si="193"/>
        <v>0</v>
      </c>
      <c r="O1107" s="24"/>
      <c r="P1107" s="76">
        <f>SUM(B1115:I1115)</f>
        <v>0</v>
      </c>
      <c r="Q1107" s="68">
        <f>N1118/N39</f>
        <v>0.996800473443873</v>
      </c>
      <c r="R1107" s="117">
        <f>SUM(B1115:M1115)</f>
        <v>0</v>
      </c>
      <c r="S1107" s="117" t="e">
        <f>S1093+S1085+S1022+S695+N376+N43</f>
        <v>#REF!</v>
      </c>
      <c r="T1107" s="117" t="e">
        <f>S1107-N1118</f>
        <v>#REF!</v>
      </c>
    </row>
    <row r="1108" spans="1:21" s="84" customFormat="1" ht="11.25" customHeight="1" hidden="1">
      <c r="A1108" s="26" t="s">
        <v>137</v>
      </c>
      <c r="B1108" s="136"/>
      <c r="C1108" s="136"/>
      <c r="D1108" s="136"/>
      <c r="E1108" s="136"/>
      <c r="F1108" s="136"/>
      <c r="G1108" s="136"/>
      <c r="H1108" s="136"/>
      <c r="I1108" s="136"/>
      <c r="J1108" s="136"/>
      <c r="K1108" s="136"/>
      <c r="L1108" s="136"/>
      <c r="M1108" s="136"/>
      <c r="N1108" s="19">
        <f t="shared" si="193"/>
        <v>0</v>
      </c>
      <c r="O1108" s="66">
        <f>N1116+N1103+N1100</f>
        <v>2474706808.1255207</v>
      </c>
      <c r="Q1108" s="85"/>
      <c r="R1108" s="118"/>
      <c r="S1108" s="118">
        <f>N10*N1119</f>
        <v>2400269608.1255207</v>
      </c>
      <c r="T1108" s="85">
        <f>N1118/N39</f>
        <v>0.996800473443873</v>
      </c>
      <c r="U1108" s="85">
        <f>N1100/N10</f>
        <v>1.657917228533207</v>
      </c>
    </row>
    <row r="1109" spans="1:19" s="84" customFormat="1" ht="11.25" customHeight="1">
      <c r="A1109" s="26" t="s">
        <v>138</v>
      </c>
      <c r="B1109" s="136"/>
      <c r="C1109" s="136"/>
      <c r="D1109" s="136"/>
      <c r="E1109" s="136"/>
      <c r="F1109" s="136"/>
      <c r="G1109" s="136"/>
      <c r="H1109" s="136"/>
      <c r="I1109" s="136"/>
      <c r="J1109" s="136"/>
      <c r="K1109" s="136"/>
      <c r="L1109" s="136"/>
      <c r="M1109" s="136"/>
      <c r="N1109" s="19">
        <f t="shared" si="193"/>
        <v>0</v>
      </c>
      <c r="O1109" s="86">
        <f>SUM(B1115:M1115)</f>
        <v>0</v>
      </c>
      <c r="P1109" s="86">
        <f>O1108-N1118</f>
        <v>-3300000</v>
      </c>
      <c r="Q1109" s="85"/>
      <c r="R1109" s="118"/>
      <c r="S1109" s="118">
        <f>N10*N1120</f>
        <v>-952507580.6755208</v>
      </c>
    </row>
    <row r="1110" spans="1:19" s="24" customFormat="1" ht="11.25" customHeight="1" hidden="1">
      <c r="A1110" s="26" t="s">
        <v>145</v>
      </c>
      <c r="B1110" s="136">
        <v>275000</v>
      </c>
      <c r="C1110" s="136">
        <v>275000</v>
      </c>
      <c r="D1110" s="136">
        <v>275000</v>
      </c>
      <c r="E1110" s="136">
        <v>275000</v>
      </c>
      <c r="F1110" s="136">
        <v>275000</v>
      </c>
      <c r="G1110" s="136">
        <v>275000</v>
      </c>
      <c r="H1110" s="136">
        <v>275000</v>
      </c>
      <c r="I1110" s="136">
        <v>275000</v>
      </c>
      <c r="J1110" s="136">
        <v>275000</v>
      </c>
      <c r="K1110" s="136">
        <v>275000</v>
      </c>
      <c r="L1110" s="136">
        <v>275000</v>
      </c>
      <c r="M1110" s="136">
        <v>275000</v>
      </c>
      <c r="N1110" s="19">
        <f t="shared" si="193"/>
        <v>3300000</v>
      </c>
      <c r="O1110" s="84"/>
      <c r="Q1110" s="69"/>
      <c r="R1110" s="75"/>
      <c r="S1110" s="75">
        <f>SUM(S1108:S1109)</f>
        <v>1447762027.4499998</v>
      </c>
    </row>
    <row r="1111" spans="1:19" s="24" customFormat="1" ht="11.25" customHeight="1" hidden="1">
      <c r="A1111" s="26" t="s">
        <v>139</v>
      </c>
      <c r="B1111" s="136">
        <f aca="true" t="shared" si="194" ref="B1111:M1111">SUM(B1112:B1114)</f>
        <v>0</v>
      </c>
      <c r="C1111" s="4">
        <f t="shared" si="194"/>
        <v>0</v>
      </c>
      <c r="D1111" s="4">
        <f t="shared" si="194"/>
        <v>0</v>
      </c>
      <c r="E1111" s="4">
        <f t="shared" si="194"/>
        <v>0</v>
      </c>
      <c r="F1111" s="4">
        <f t="shared" si="194"/>
        <v>0</v>
      </c>
      <c r="G1111" s="4">
        <f t="shared" si="194"/>
        <v>0</v>
      </c>
      <c r="H1111" s="4">
        <f t="shared" si="194"/>
        <v>0</v>
      </c>
      <c r="I1111" s="4">
        <f t="shared" si="194"/>
        <v>0</v>
      </c>
      <c r="J1111" s="4">
        <f t="shared" si="194"/>
        <v>0</v>
      </c>
      <c r="K1111" s="4">
        <f t="shared" si="194"/>
        <v>0</v>
      </c>
      <c r="L1111" s="4">
        <f t="shared" si="194"/>
        <v>0</v>
      </c>
      <c r="M1111" s="4">
        <f t="shared" si="194"/>
        <v>0</v>
      </c>
      <c r="N1111" s="19">
        <f t="shared" si="193"/>
        <v>0</v>
      </c>
      <c r="O1111" s="91">
        <f>N1118/N39</f>
        <v>0.996800473443873</v>
      </c>
      <c r="Q1111" s="69"/>
      <c r="R1111" s="75"/>
      <c r="S1111" s="128"/>
    </row>
    <row r="1112" spans="1:19" s="24" customFormat="1" ht="11.25" customHeight="1" hidden="1">
      <c r="A1112" s="26" t="s">
        <v>140</v>
      </c>
      <c r="B1112" s="136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19">
        <f t="shared" si="193"/>
        <v>0</v>
      </c>
      <c r="O1112" s="91"/>
      <c r="Q1112" s="69"/>
      <c r="R1112" s="75"/>
      <c r="S1112" s="128"/>
    </row>
    <row r="1113" spans="1:19" s="24" customFormat="1" ht="11.25" hidden="1">
      <c r="A1113" s="26" t="s">
        <v>141</v>
      </c>
      <c r="B1113" s="136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19">
        <f t="shared" si="193"/>
        <v>0</v>
      </c>
      <c r="O1113" s="91"/>
      <c r="Q1113" s="69"/>
      <c r="R1113" s="75"/>
      <c r="S1113" s="128">
        <f>SUBTOTAL(9,N47:N1092)</f>
        <v>6308640715.216073</v>
      </c>
    </row>
    <row r="1114" spans="1:19" s="24" customFormat="1" ht="11.25" hidden="1">
      <c r="A1114" s="26"/>
      <c r="B1114" s="136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19">
        <f t="shared" si="193"/>
        <v>0</v>
      </c>
      <c r="O1114" s="91"/>
      <c r="Q1114" s="69"/>
      <c r="R1114" s="75"/>
      <c r="S1114" s="128"/>
    </row>
    <row r="1115" spans="1:19" s="24" customFormat="1" ht="11.25" hidden="1">
      <c r="A1115" s="306"/>
      <c r="B1115" s="136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19"/>
      <c r="O1115" s="91"/>
      <c r="Q1115" s="69"/>
      <c r="R1115" s="75"/>
      <c r="S1115" s="128"/>
    </row>
    <row r="1116" spans="1:19" s="24" customFormat="1" ht="11.25">
      <c r="A1116" s="27" t="s">
        <v>205</v>
      </c>
      <c r="B1116" s="137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20">
        <f>SUM(B1116:M1116)</f>
        <v>0</v>
      </c>
      <c r="O1116" s="91"/>
      <c r="Q1116" s="69"/>
      <c r="R1116" s="75"/>
      <c r="S1116" s="75"/>
    </row>
    <row r="1117" spans="1:19" s="24" customFormat="1" ht="11.25">
      <c r="A1117" s="306"/>
      <c r="B1117" s="136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20"/>
      <c r="O1117" s="34">
        <f>N1100-N39</f>
        <v>-85691097.29447937</v>
      </c>
      <c r="Q1117" s="69"/>
      <c r="R1117" s="75"/>
      <c r="S1117" s="75"/>
    </row>
    <row r="1118" spans="1:19" s="24" customFormat="1" ht="11.25">
      <c r="A1118" s="96" t="s">
        <v>83</v>
      </c>
      <c r="B1118" s="138">
        <f>B1100+B1102+B1116</f>
        <v>200746940.45800003</v>
      </c>
      <c r="C1118" s="97">
        <f aca="true" t="shared" si="195" ref="C1118:N1118">C1100+C1102+C1116</f>
        <v>205272741.12800002</v>
      </c>
      <c r="D1118" s="97">
        <f t="shared" si="195"/>
        <v>198076593.12800002</v>
      </c>
      <c r="E1118" s="97">
        <f t="shared" si="195"/>
        <v>201806491.45800003</v>
      </c>
      <c r="F1118" s="97">
        <f t="shared" si="195"/>
        <v>208322413.95800003</v>
      </c>
      <c r="G1118" s="97">
        <f t="shared" si="195"/>
        <v>253321275.86880004</v>
      </c>
      <c r="H1118" s="97">
        <f t="shared" si="195"/>
        <v>198958397.638</v>
      </c>
      <c r="I1118" s="97">
        <f t="shared" si="195"/>
        <v>194856190.95800003</v>
      </c>
      <c r="J1118" s="97">
        <f t="shared" si="195"/>
        <v>197153058.95800003</v>
      </c>
      <c r="K1118" s="97">
        <f t="shared" si="195"/>
        <v>197023496.06800002</v>
      </c>
      <c r="L1118" s="97">
        <f t="shared" si="195"/>
        <v>195947402.06800002</v>
      </c>
      <c r="M1118" s="97">
        <f t="shared" si="195"/>
        <v>226521806.43672</v>
      </c>
      <c r="N1118" s="97">
        <f t="shared" si="195"/>
        <v>2478006808.1255207</v>
      </c>
      <c r="Q1118" s="69"/>
      <c r="R1118" s="75">
        <f>N1138-N30-N11</f>
        <v>2091144848.3555205</v>
      </c>
      <c r="S1118" s="75"/>
    </row>
    <row r="1119" spans="1:19" s="24" customFormat="1" ht="11.25">
      <c r="A1119" s="84" t="s">
        <v>216</v>
      </c>
      <c r="B1119" s="34">
        <f aca="true" t="shared" si="196" ref="B1119:M1119">B10-B1118</f>
        <v>-74198661.08800003</v>
      </c>
      <c r="C1119" s="34">
        <f t="shared" si="196"/>
        <v>-86757576.84800002</v>
      </c>
      <c r="D1119" s="34">
        <f t="shared" si="196"/>
        <v>-76176909.58800001</v>
      </c>
      <c r="E1119" s="34">
        <f t="shared" si="196"/>
        <v>-80244867.82800004</v>
      </c>
      <c r="F1119" s="34">
        <f t="shared" si="196"/>
        <v>-90368071.73800004</v>
      </c>
      <c r="G1119" s="34">
        <f t="shared" si="196"/>
        <v>-131301374.05880004</v>
      </c>
      <c r="H1119" s="34">
        <f t="shared" si="196"/>
        <v>-78904718.488</v>
      </c>
      <c r="I1119" s="34">
        <f t="shared" si="196"/>
        <v>-71301861.50800003</v>
      </c>
      <c r="J1119" s="34">
        <f t="shared" si="196"/>
        <v>-76720121.45800003</v>
      </c>
      <c r="K1119" s="34">
        <f t="shared" si="196"/>
        <v>-77635941.14800002</v>
      </c>
      <c r="L1119" s="34">
        <f t="shared" si="196"/>
        <v>-80759706.10800003</v>
      </c>
      <c r="M1119" s="34">
        <f t="shared" si="196"/>
        <v>-105874970.81672001</v>
      </c>
      <c r="N1119" s="481">
        <f>N1100/N10</f>
        <v>1.657917228533207</v>
      </c>
      <c r="O1119" s="34">
        <f>N39-N1118</f>
        <v>7953897.29447937</v>
      </c>
      <c r="Q1119" s="69"/>
      <c r="R1119" s="118">
        <f>R1118/N10</f>
        <v>1.444398187483019</v>
      </c>
      <c r="S1119" s="75"/>
    </row>
    <row r="1120" spans="1:19" s="24" customFormat="1" ht="11.25">
      <c r="A1120" s="84" t="s">
        <v>67</v>
      </c>
      <c r="B1120" s="141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86">
        <f>100%-N1119</f>
        <v>-0.6579172285332071</v>
      </c>
      <c r="O1120" s="69">
        <f>N1118/N39</f>
        <v>0.996800473443873</v>
      </c>
      <c r="Q1120" s="69"/>
      <c r="R1120" s="118">
        <f>100%-R1119</f>
        <v>-0.44439818748301896</v>
      </c>
      <c r="S1120" s="75"/>
    </row>
    <row r="1121" spans="2:19" s="24" customFormat="1" ht="11.25">
      <c r="B1121" s="141" t="e">
        <f>B39-#REF!</f>
        <v>#REF!</v>
      </c>
      <c r="C1121" s="141" t="e">
        <f>C39-#REF!</f>
        <v>#REF!</v>
      </c>
      <c r="D1121" s="141" t="e">
        <f>D39-#REF!</f>
        <v>#REF!</v>
      </c>
      <c r="E1121" s="141" t="e">
        <f>E39-#REF!</f>
        <v>#REF!</v>
      </c>
      <c r="F1121" s="141" t="e">
        <f>F39-#REF!</f>
        <v>#REF!</v>
      </c>
      <c r="G1121" s="141" t="e">
        <f>G39-#REF!</f>
        <v>#REF!</v>
      </c>
      <c r="H1121" s="141" t="e">
        <f>H39-#REF!</f>
        <v>#REF!</v>
      </c>
      <c r="I1121" s="141" t="e">
        <f>I39-#REF!</f>
        <v>#REF!</v>
      </c>
      <c r="J1121" s="141" t="e">
        <f>J39-#REF!</f>
        <v>#REF!</v>
      </c>
      <c r="K1121" s="141" t="e">
        <f>K39-#REF!</f>
        <v>#REF!</v>
      </c>
      <c r="L1121" s="141" t="e">
        <f>L39-#REF!</f>
        <v>#REF!</v>
      </c>
      <c r="M1121" s="141" t="e">
        <f>M39-#REF!</f>
        <v>#REF!</v>
      </c>
      <c r="N1121" s="34">
        <f>N10*N1119</f>
        <v>2400269608.1255207</v>
      </c>
      <c r="Q1121" s="69"/>
      <c r="R1121" s="75"/>
      <c r="S1121" s="75"/>
    </row>
    <row r="1122" spans="1:19" s="24" customFormat="1" ht="11.25">
      <c r="A1122" s="84" t="s">
        <v>216</v>
      </c>
      <c r="B1122" s="141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>
        <f>N10-N1121</f>
        <v>-952507580.6755209</v>
      </c>
      <c r="O1122" s="69"/>
      <c r="Q1122" s="69"/>
      <c r="R1122" s="75"/>
      <c r="S1122" s="75"/>
    </row>
    <row r="1123" spans="1:19" s="24" customFormat="1" ht="11.25">
      <c r="A1123" s="84" t="s">
        <v>67</v>
      </c>
      <c r="B1123" s="141" t="e">
        <f>B10-#REF!-B1113</f>
        <v>#REF!</v>
      </c>
      <c r="C1123" s="34" t="e">
        <f>C10-#REF!-C1113</f>
        <v>#REF!</v>
      </c>
      <c r="D1123" s="34" t="e">
        <f>D10-#REF!-D1113</f>
        <v>#REF!</v>
      </c>
      <c r="E1123" s="34" t="e">
        <f>E10-#REF!-E1113</f>
        <v>#REF!</v>
      </c>
      <c r="F1123" s="34" t="e">
        <f>F10-#REF!-F1113</f>
        <v>#REF!</v>
      </c>
      <c r="G1123" s="34" t="e">
        <f>G10-#REF!-G1113</f>
        <v>#REF!</v>
      </c>
      <c r="H1123" s="34" t="e">
        <f>H10-#REF!-H1113</f>
        <v>#REF!</v>
      </c>
      <c r="I1123" s="34" t="e">
        <f>I10-#REF!-I1113</f>
        <v>#REF!</v>
      </c>
      <c r="J1123" s="34" t="e">
        <f>J10-#REF!-J1113</f>
        <v>#REF!</v>
      </c>
      <c r="K1123" s="34" t="e">
        <f>K10-#REF!-K1113</f>
        <v>#REF!</v>
      </c>
      <c r="L1123" s="34" t="e">
        <f>L10-#REF!-L1113</f>
        <v>#REF!</v>
      </c>
      <c r="M1123" s="34"/>
      <c r="N1123" s="34">
        <f>SUM(B1119:M1119)</f>
        <v>-1030244780.6755203</v>
      </c>
      <c r="Q1123" s="69"/>
      <c r="R1123" s="75"/>
      <c r="S1123" s="75"/>
    </row>
    <row r="1124" spans="2:19" s="24" customFormat="1" ht="11.25">
      <c r="B1124" s="141" t="e">
        <f aca="true" t="shared" si="197" ref="B1124:L1124">B1123-10000000</f>
        <v>#REF!</v>
      </c>
      <c r="C1124" s="34" t="e">
        <f t="shared" si="197"/>
        <v>#REF!</v>
      </c>
      <c r="D1124" s="34" t="e">
        <f t="shared" si="197"/>
        <v>#REF!</v>
      </c>
      <c r="E1124" s="34" t="e">
        <f t="shared" si="197"/>
        <v>#REF!</v>
      </c>
      <c r="F1124" s="34" t="e">
        <f t="shared" si="197"/>
        <v>#REF!</v>
      </c>
      <c r="G1124" s="34" t="e">
        <f t="shared" si="197"/>
        <v>#REF!</v>
      </c>
      <c r="H1124" s="34" t="e">
        <f t="shared" si="197"/>
        <v>#REF!</v>
      </c>
      <c r="I1124" s="34" t="e">
        <f t="shared" si="197"/>
        <v>#REF!</v>
      </c>
      <c r="J1124" s="34"/>
      <c r="K1124" s="34" t="e">
        <f t="shared" si="197"/>
        <v>#REF!</v>
      </c>
      <c r="L1124" s="34" t="e">
        <f t="shared" si="197"/>
        <v>#REF!</v>
      </c>
      <c r="M1124" s="34"/>
      <c r="N1124" s="141">
        <f>N39-N1118</f>
        <v>7953897.29447937</v>
      </c>
      <c r="O1124" s="34">
        <f>N39-N1100</f>
        <v>85691097.29447937</v>
      </c>
      <c r="Q1124" s="69"/>
      <c r="R1124" s="75"/>
      <c r="S1124" s="75"/>
    </row>
    <row r="1125" spans="2:19" s="24" customFormat="1" ht="11.25">
      <c r="B1125" s="141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Q1125" s="75">
        <f>N1118+Flujo!N142</f>
        <v>2544772937.405521</v>
      </c>
      <c r="R1125" s="75"/>
      <c r="S1125" s="75"/>
    </row>
    <row r="1126" spans="2:19" s="24" customFormat="1" ht="11.25">
      <c r="B1126" s="141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Q1126" s="69"/>
      <c r="R1126" s="75"/>
      <c r="S1126" s="75"/>
    </row>
    <row r="1127" spans="2:19" s="24" customFormat="1" ht="11.25">
      <c r="B1127" s="141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Q1127" s="75">
        <f>Q1125-N11-N13-N30</f>
        <v>2212239259.595521</v>
      </c>
      <c r="R1127" s="75"/>
      <c r="S1127" s="75"/>
    </row>
    <row r="1128" spans="2:19" s="24" customFormat="1" ht="11.25">
      <c r="B1128" s="141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144">
        <f>N1118-N11-N30</f>
        <v>2168882048.3555202</v>
      </c>
      <c r="N1128" s="34"/>
      <c r="P1128" s="75">
        <f>N39*20%</f>
        <v>497192141.08400005</v>
      </c>
      <c r="Q1128" s="69"/>
      <c r="R1128" s="75"/>
      <c r="S1128" s="75"/>
    </row>
    <row r="1129" spans="2:19" s="24" customFormat="1" ht="11.25">
      <c r="B1129" s="141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66">
        <f>N10-M1128</f>
        <v>-721120020.9055204</v>
      </c>
      <c r="N1129" s="34"/>
      <c r="Q1129" s="69"/>
      <c r="R1129" s="75"/>
      <c r="S1129" s="75"/>
    </row>
    <row r="1130" spans="2:19" s="24" customFormat="1" ht="11.25">
      <c r="B1130" s="141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Q1130" s="69">
        <f>Q1125/N39</f>
        <v>1.0236577480316948</v>
      </c>
      <c r="R1130" s="75"/>
      <c r="S1130" s="75"/>
    </row>
    <row r="1131" spans="2:19" s="24" customFormat="1" ht="11.25">
      <c r="B1131" s="141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>
        <f>N10</f>
        <v>1447762027.4499998</v>
      </c>
      <c r="N1131" s="187">
        <f>M1128/N10</f>
        <v>1.4980929235833444</v>
      </c>
      <c r="Q1131" s="69"/>
      <c r="R1131" s="75"/>
      <c r="S1131" s="75"/>
    </row>
    <row r="1132" spans="2:19" s="24" customFormat="1" ht="11.25">
      <c r="B1132" s="141"/>
      <c r="C1132" s="34"/>
      <c r="D1132" s="34"/>
      <c r="E1132" s="34"/>
      <c r="F1132" s="34"/>
      <c r="G1132" s="34"/>
      <c r="H1132" s="34"/>
      <c r="I1132" s="34"/>
      <c r="J1132" s="34" t="e">
        <f>N1118+#REF!</f>
        <v>#REF!</v>
      </c>
      <c r="K1132" s="34"/>
      <c r="L1132" s="34"/>
      <c r="M1132" s="34">
        <f>M1131*N1135</f>
        <v>2400269608.1255207</v>
      </c>
      <c r="N1132" s="187">
        <f>M1129/N10</f>
        <v>-0.49809292358334434</v>
      </c>
      <c r="Q1132" s="69"/>
      <c r="R1132" s="75"/>
      <c r="S1132" s="75"/>
    </row>
    <row r="1133" spans="2:19" s="24" customFormat="1" ht="11.25">
      <c r="B1133" s="141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>
        <f>M1131-M1132</f>
        <v>-952507580.6755209</v>
      </c>
      <c r="N1133" s="62"/>
      <c r="Q1133" s="69"/>
      <c r="R1133" s="75"/>
      <c r="S1133" s="75"/>
    </row>
    <row r="1134" spans="2:19" s="24" customFormat="1" ht="11.25">
      <c r="B1134" s="141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 t="e">
        <f>#REF!-10000000</f>
        <v>#REF!</v>
      </c>
      <c r="N1134" s="62"/>
      <c r="Q1134" s="69"/>
      <c r="R1134" s="75"/>
      <c r="S1134" s="75"/>
    </row>
    <row r="1135" spans="2:19" s="24" customFormat="1" ht="11.25">
      <c r="B1135" s="141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62">
        <f>N1100/N10</f>
        <v>1.657917228533207</v>
      </c>
      <c r="Q1135" s="69"/>
      <c r="R1135" s="75"/>
      <c r="S1135" s="75"/>
    </row>
    <row r="1136" spans="2:19" s="24" customFormat="1" ht="11.25">
      <c r="B1136" s="141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62"/>
      <c r="Q1136" s="69"/>
      <c r="R1136" s="75"/>
      <c r="S1136" s="75"/>
    </row>
    <row r="1137" spans="2:19" s="24" customFormat="1" ht="11.25">
      <c r="B1137" s="141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62"/>
      <c r="Q1137" s="69"/>
      <c r="R1137" s="75"/>
      <c r="S1137" s="75"/>
    </row>
    <row r="1138" spans="2:19" s="24" customFormat="1" ht="11.25">
      <c r="B1138" s="141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62">
        <f>N1100+N1116</f>
        <v>2400269608.1255207</v>
      </c>
      <c r="Q1138" s="69"/>
      <c r="R1138" s="75"/>
      <c r="S1138" s="75"/>
    </row>
    <row r="1139" spans="2:19" s="24" customFormat="1" ht="11.25">
      <c r="B1139" s="141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>
        <f>M1131-M1132</f>
        <v>-952507580.6755209</v>
      </c>
      <c r="N1139" s="62">
        <f>N1118-N11-N30</f>
        <v>2168882048.3555202</v>
      </c>
      <c r="Q1139" s="69"/>
      <c r="R1139" s="75"/>
      <c r="S1139" s="75"/>
    </row>
    <row r="1140" spans="2:19" s="24" customFormat="1" ht="11.25">
      <c r="B1140" s="141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86">
        <f>N1139/N10</f>
        <v>1.4980929235833444</v>
      </c>
      <c r="Q1140" s="69"/>
      <c r="R1140" s="75"/>
      <c r="S1140" s="75"/>
    </row>
    <row r="1141" spans="2:19" s="24" customFormat="1" ht="11.25">
      <c r="B1141" s="141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86">
        <f>100%-N1140</f>
        <v>-0.49809292358334445</v>
      </c>
      <c r="Q1141" s="69"/>
      <c r="R1141" s="75"/>
      <c r="S1141" s="75"/>
    </row>
    <row r="1142" spans="2:19" s="24" customFormat="1" ht="11.25">
      <c r="B1142" s="141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62">
        <f>100%-N1135</f>
        <v>-0.6579172285332071</v>
      </c>
      <c r="Q1142" s="69"/>
      <c r="R1142" s="75"/>
      <c r="S1142" s="75"/>
    </row>
    <row r="1143" spans="2:19" s="24" customFormat="1" ht="11.25">
      <c r="B1143" s="141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62"/>
      <c r="Q1143" s="69"/>
      <c r="R1143" s="75"/>
      <c r="S1143" s="75"/>
    </row>
    <row r="1144" spans="2:19" s="24" customFormat="1" ht="11.25">
      <c r="B1144" s="141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62"/>
      <c r="Q1144" s="69"/>
      <c r="R1144" s="75"/>
      <c r="S1144" s="75"/>
    </row>
    <row r="1145" spans="2:19" s="24" customFormat="1" ht="11.25">
      <c r="B1145" s="141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62"/>
      <c r="Q1145" s="69"/>
      <c r="R1145" s="75"/>
      <c r="S1145" s="75"/>
    </row>
    <row r="1146" spans="2:19" s="24" customFormat="1" ht="11.25">
      <c r="B1146" s="141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62"/>
      <c r="Q1146" s="69"/>
      <c r="R1146" s="75"/>
      <c r="S1146" s="75"/>
    </row>
    <row r="1147" spans="2:19" s="24" customFormat="1" ht="11.25">
      <c r="B1147" s="141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62"/>
      <c r="Q1147" s="69"/>
      <c r="R1147" s="75"/>
      <c r="S1147" s="75"/>
    </row>
    <row r="1148" spans="2:19" s="24" customFormat="1" ht="11.25">
      <c r="B1148" s="141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62"/>
      <c r="Q1148" s="69"/>
      <c r="R1148" s="75"/>
      <c r="S1148" s="75"/>
    </row>
    <row r="1149" spans="2:19" s="24" customFormat="1" ht="11.25">
      <c r="B1149" s="141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62"/>
      <c r="Q1149" s="69"/>
      <c r="R1149" s="75"/>
      <c r="S1149" s="75"/>
    </row>
    <row r="1150" spans="2:19" s="24" customFormat="1" ht="11.25">
      <c r="B1150" s="141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62"/>
      <c r="Q1150" s="69"/>
      <c r="R1150" s="75"/>
      <c r="S1150" s="75"/>
    </row>
    <row r="1151" spans="2:19" s="24" customFormat="1" ht="11.25">
      <c r="B1151" s="141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62"/>
      <c r="Q1151" s="69"/>
      <c r="R1151" s="75"/>
      <c r="S1151" s="75"/>
    </row>
    <row r="1152" spans="2:19" s="24" customFormat="1" ht="11.25">
      <c r="B1152" s="141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62"/>
      <c r="Q1152" s="69"/>
      <c r="R1152" s="75"/>
      <c r="S1152" s="75"/>
    </row>
    <row r="1153" spans="2:19" s="24" customFormat="1" ht="11.25">
      <c r="B1153" s="141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62"/>
      <c r="Q1153" s="69"/>
      <c r="R1153" s="75"/>
      <c r="S1153" s="75"/>
    </row>
    <row r="1154" spans="2:19" s="24" customFormat="1" ht="11.25">
      <c r="B1154" s="141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62"/>
      <c r="Q1154" s="69"/>
      <c r="R1154" s="75"/>
      <c r="S1154" s="75"/>
    </row>
    <row r="1155" spans="2:19" s="24" customFormat="1" ht="11.25">
      <c r="B1155" s="141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62"/>
      <c r="Q1155" s="69"/>
      <c r="R1155" s="75"/>
      <c r="S1155" s="75"/>
    </row>
    <row r="1156" spans="2:19" s="24" customFormat="1" ht="11.25">
      <c r="B1156" s="141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62"/>
      <c r="Q1156" s="69"/>
      <c r="R1156" s="75"/>
      <c r="S1156" s="75"/>
    </row>
    <row r="1157" spans="2:19" s="24" customFormat="1" ht="11.25">
      <c r="B1157" s="141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62"/>
      <c r="Q1157" s="69"/>
      <c r="R1157" s="75"/>
      <c r="S1157" s="75"/>
    </row>
    <row r="1158" spans="2:19" s="24" customFormat="1" ht="11.25">
      <c r="B1158" s="141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62"/>
      <c r="Q1158" s="69"/>
      <c r="R1158" s="75"/>
      <c r="S1158" s="75"/>
    </row>
    <row r="1159" spans="2:19" s="24" customFormat="1" ht="11.25">
      <c r="B1159" s="141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62"/>
      <c r="Q1159" s="69"/>
      <c r="R1159" s="75"/>
      <c r="S1159" s="75"/>
    </row>
    <row r="1160" spans="2:19" s="24" customFormat="1" ht="11.25">
      <c r="B1160" s="141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62"/>
      <c r="Q1160" s="69"/>
      <c r="R1160" s="75"/>
      <c r="S1160" s="75"/>
    </row>
    <row r="1161" spans="2:19" s="24" customFormat="1" ht="11.25">
      <c r="B1161" s="141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62"/>
      <c r="Q1161" s="69"/>
      <c r="R1161" s="75"/>
      <c r="S1161" s="75"/>
    </row>
    <row r="1162" spans="2:19" s="24" customFormat="1" ht="11.25">
      <c r="B1162" s="141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62"/>
      <c r="Q1162" s="69"/>
      <c r="R1162" s="75"/>
      <c r="S1162" s="75"/>
    </row>
    <row r="1163" spans="2:19" s="24" customFormat="1" ht="11.25">
      <c r="B1163" s="141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62"/>
      <c r="Q1163" s="69"/>
      <c r="R1163" s="75"/>
      <c r="S1163" s="75"/>
    </row>
    <row r="1164" spans="2:19" s="24" customFormat="1" ht="11.25">
      <c r="B1164" s="141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62"/>
      <c r="Q1164" s="69"/>
      <c r="R1164" s="75"/>
      <c r="S1164" s="75"/>
    </row>
    <row r="1165" spans="2:19" s="24" customFormat="1" ht="11.25">
      <c r="B1165" s="141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62"/>
      <c r="Q1165" s="69"/>
      <c r="R1165" s="75"/>
      <c r="S1165" s="75"/>
    </row>
    <row r="1166" spans="2:19" s="24" customFormat="1" ht="11.25">
      <c r="B1166" s="141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62"/>
      <c r="Q1166" s="69"/>
      <c r="R1166" s="75"/>
      <c r="S1166" s="75"/>
    </row>
    <row r="1167" spans="2:19" s="24" customFormat="1" ht="11.25">
      <c r="B1167" s="141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62"/>
      <c r="Q1167" s="69"/>
      <c r="R1167" s="75"/>
      <c r="S1167" s="75"/>
    </row>
    <row r="1168" spans="2:19" s="24" customFormat="1" ht="11.25">
      <c r="B1168" s="141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62"/>
      <c r="Q1168" s="69"/>
      <c r="R1168" s="75"/>
      <c r="S1168" s="75"/>
    </row>
    <row r="1169" spans="2:19" s="24" customFormat="1" ht="11.25">
      <c r="B1169" s="141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62"/>
      <c r="Q1169" s="69"/>
      <c r="R1169" s="75"/>
      <c r="S1169" s="75"/>
    </row>
    <row r="1170" spans="2:19" s="24" customFormat="1" ht="11.25">
      <c r="B1170" s="141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62"/>
      <c r="Q1170" s="69"/>
      <c r="R1170" s="75"/>
      <c r="S1170" s="75"/>
    </row>
    <row r="1171" spans="2:19" s="24" customFormat="1" ht="11.25">
      <c r="B1171" s="141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62"/>
      <c r="Q1171" s="69"/>
      <c r="R1171" s="75"/>
      <c r="S1171" s="75"/>
    </row>
    <row r="1172" spans="2:19" s="24" customFormat="1" ht="11.25">
      <c r="B1172" s="141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62"/>
      <c r="Q1172" s="69"/>
      <c r="R1172" s="75"/>
      <c r="S1172" s="75"/>
    </row>
    <row r="1173" spans="2:19" s="24" customFormat="1" ht="11.25">
      <c r="B1173" s="141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62"/>
      <c r="Q1173" s="69"/>
      <c r="R1173" s="75"/>
      <c r="S1173" s="75"/>
    </row>
    <row r="1174" spans="2:19" s="24" customFormat="1" ht="11.25">
      <c r="B1174" s="141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62"/>
      <c r="Q1174" s="69"/>
      <c r="R1174" s="75"/>
      <c r="S1174" s="75"/>
    </row>
    <row r="1175" spans="2:19" s="24" customFormat="1" ht="11.25">
      <c r="B1175" s="141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62"/>
      <c r="Q1175" s="69"/>
      <c r="R1175" s="75"/>
      <c r="S1175" s="75"/>
    </row>
    <row r="1176" spans="2:19" s="24" customFormat="1" ht="11.25">
      <c r="B1176" s="141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62"/>
      <c r="Q1176" s="69"/>
      <c r="R1176" s="75"/>
      <c r="S1176" s="75"/>
    </row>
    <row r="1177" spans="2:19" s="24" customFormat="1" ht="11.25">
      <c r="B1177" s="141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62"/>
      <c r="Q1177" s="69"/>
      <c r="R1177" s="75"/>
      <c r="S1177" s="75"/>
    </row>
    <row r="1178" spans="2:19" s="24" customFormat="1" ht="11.25">
      <c r="B1178" s="141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62"/>
      <c r="Q1178" s="69"/>
      <c r="R1178" s="75"/>
      <c r="S1178" s="75"/>
    </row>
    <row r="1179" spans="2:19" s="24" customFormat="1" ht="11.25">
      <c r="B1179" s="141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62"/>
      <c r="Q1179" s="69"/>
      <c r="R1179" s="75"/>
      <c r="S1179" s="75"/>
    </row>
    <row r="1180" spans="2:19" s="24" customFormat="1" ht="11.25">
      <c r="B1180" s="141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62"/>
      <c r="Q1180" s="69"/>
      <c r="R1180" s="75"/>
      <c r="S1180" s="75"/>
    </row>
    <row r="1181" spans="2:19" s="24" customFormat="1" ht="11.25">
      <c r="B1181" s="141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62"/>
      <c r="Q1181" s="69"/>
      <c r="R1181" s="75"/>
      <c r="S1181" s="75"/>
    </row>
    <row r="1182" spans="2:19" s="24" customFormat="1" ht="11.25">
      <c r="B1182" s="141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62"/>
      <c r="Q1182" s="69"/>
      <c r="R1182" s="75"/>
      <c r="S1182" s="75"/>
    </row>
    <row r="1183" spans="2:19" s="24" customFormat="1" ht="11.25">
      <c r="B1183" s="141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62"/>
      <c r="Q1183" s="69"/>
      <c r="R1183" s="75"/>
      <c r="S1183" s="75"/>
    </row>
    <row r="1184" spans="2:19" s="24" customFormat="1" ht="11.25">
      <c r="B1184" s="141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62"/>
      <c r="Q1184" s="69"/>
      <c r="R1184" s="75"/>
      <c r="S1184" s="75"/>
    </row>
    <row r="1185" spans="2:19" s="24" customFormat="1" ht="11.25">
      <c r="B1185" s="141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62"/>
      <c r="Q1185" s="69"/>
      <c r="R1185" s="75"/>
      <c r="S1185" s="75"/>
    </row>
    <row r="1186" spans="2:19" s="24" customFormat="1" ht="11.25">
      <c r="B1186" s="141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62"/>
      <c r="Q1186" s="69"/>
      <c r="R1186" s="75"/>
      <c r="S1186" s="75"/>
    </row>
    <row r="1187" spans="2:19" s="24" customFormat="1" ht="11.25">
      <c r="B1187" s="141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62"/>
      <c r="Q1187" s="69"/>
      <c r="R1187" s="75"/>
      <c r="S1187" s="75"/>
    </row>
    <row r="1188" spans="2:19" s="24" customFormat="1" ht="11.25">
      <c r="B1188" s="141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62"/>
      <c r="Q1188" s="69"/>
      <c r="R1188" s="75"/>
      <c r="S1188" s="75"/>
    </row>
    <row r="1189" spans="2:19" s="24" customFormat="1" ht="11.25">
      <c r="B1189" s="141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62"/>
      <c r="Q1189" s="69"/>
      <c r="R1189" s="75"/>
      <c r="S1189" s="75"/>
    </row>
    <row r="1190" spans="2:19" s="24" customFormat="1" ht="11.25">
      <c r="B1190" s="141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62"/>
      <c r="Q1190" s="69"/>
      <c r="R1190" s="75"/>
      <c r="S1190" s="75"/>
    </row>
    <row r="1191" spans="2:19" s="24" customFormat="1" ht="11.25">
      <c r="B1191" s="141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62"/>
      <c r="Q1191" s="69"/>
      <c r="R1191" s="75"/>
      <c r="S1191" s="75"/>
    </row>
    <row r="1192" spans="2:19" s="24" customFormat="1" ht="11.25">
      <c r="B1192" s="141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62"/>
      <c r="Q1192" s="69"/>
      <c r="R1192" s="75"/>
      <c r="S1192" s="75"/>
    </row>
    <row r="1193" spans="2:19" s="24" customFormat="1" ht="11.25">
      <c r="B1193" s="141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62"/>
      <c r="Q1193" s="69"/>
      <c r="R1193" s="75"/>
      <c r="S1193" s="75"/>
    </row>
    <row r="1194" spans="2:19" s="24" customFormat="1" ht="11.25">
      <c r="B1194" s="141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62"/>
      <c r="Q1194" s="69"/>
      <c r="R1194" s="75"/>
      <c r="S1194" s="75"/>
    </row>
    <row r="1195" spans="2:19" s="24" customFormat="1" ht="11.25">
      <c r="B1195" s="141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62"/>
      <c r="Q1195" s="69"/>
      <c r="R1195" s="75"/>
      <c r="S1195" s="75"/>
    </row>
    <row r="1196" spans="2:19" s="24" customFormat="1" ht="11.25">
      <c r="B1196" s="141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62"/>
      <c r="Q1196" s="69"/>
      <c r="R1196" s="75"/>
      <c r="S1196" s="75"/>
    </row>
    <row r="1197" spans="2:19" s="24" customFormat="1" ht="11.25">
      <c r="B1197" s="141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62"/>
      <c r="Q1197" s="69"/>
      <c r="R1197" s="75"/>
      <c r="S1197" s="75"/>
    </row>
    <row r="1198" spans="2:19" s="24" customFormat="1" ht="11.25">
      <c r="B1198" s="141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62"/>
      <c r="Q1198" s="69"/>
      <c r="R1198" s="75"/>
      <c r="S1198" s="75"/>
    </row>
    <row r="1199" spans="2:19" s="24" customFormat="1" ht="11.25">
      <c r="B1199" s="141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62"/>
      <c r="Q1199" s="69"/>
      <c r="R1199" s="75"/>
      <c r="S1199" s="75"/>
    </row>
    <row r="1200" spans="2:19" s="24" customFormat="1" ht="11.25">
      <c r="B1200" s="141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62"/>
      <c r="Q1200" s="69"/>
      <c r="R1200" s="75"/>
      <c r="S1200" s="75"/>
    </row>
    <row r="1201" spans="2:19" s="24" customFormat="1" ht="11.25">
      <c r="B1201" s="141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62"/>
      <c r="Q1201" s="69"/>
      <c r="R1201" s="75"/>
      <c r="S1201" s="75"/>
    </row>
    <row r="1202" spans="2:19" s="24" customFormat="1" ht="11.25">
      <c r="B1202" s="141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62"/>
      <c r="Q1202" s="69"/>
      <c r="R1202" s="75"/>
      <c r="S1202" s="75"/>
    </row>
    <row r="1203" spans="2:19" s="24" customFormat="1" ht="11.25">
      <c r="B1203" s="141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62"/>
      <c r="Q1203" s="69"/>
      <c r="R1203" s="75"/>
      <c r="S1203" s="75"/>
    </row>
    <row r="1204" spans="2:19" s="24" customFormat="1" ht="11.25">
      <c r="B1204" s="141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62"/>
      <c r="Q1204" s="69"/>
      <c r="R1204" s="75"/>
      <c r="S1204" s="75"/>
    </row>
    <row r="1205" spans="2:19" s="24" customFormat="1" ht="11.25">
      <c r="B1205" s="141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62"/>
      <c r="Q1205" s="69"/>
      <c r="R1205" s="75"/>
      <c r="S1205" s="75"/>
    </row>
    <row r="1206" spans="2:19" s="24" customFormat="1" ht="11.25">
      <c r="B1206" s="141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62"/>
      <c r="Q1206" s="69"/>
      <c r="R1206" s="75"/>
      <c r="S1206" s="75"/>
    </row>
    <row r="1207" spans="2:19" s="24" customFormat="1" ht="11.25">
      <c r="B1207" s="141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62"/>
      <c r="Q1207" s="69"/>
      <c r="R1207" s="75"/>
      <c r="S1207" s="75"/>
    </row>
    <row r="1208" spans="2:19" s="24" customFormat="1" ht="11.25">
      <c r="B1208" s="141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62"/>
      <c r="Q1208" s="69"/>
      <c r="R1208" s="75"/>
      <c r="S1208" s="75"/>
    </row>
    <row r="1209" spans="2:19" s="24" customFormat="1" ht="11.25">
      <c r="B1209" s="141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62"/>
      <c r="Q1209" s="69"/>
      <c r="R1209" s="75"/>
      <c r="S1209" s="75"/>
    </row>
    <row r="1210" spans="2:19" s="24" customFormat="1" ht="11.25">
      <c r="B1210" s="141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62"/>
      <c r="Q1210" s="69"/>
      <c r="R1210" s="75"/>
      <c r="S1210" s="75"/>
    </row>
    <row r="1211" spans="2:19" s="24" customFormat="1" ht="11.25">
      <c r="B1211" s="141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62"/>
      <c r="Q1211" s="69"/>
      <c r="R1211" s="75"/>
      <c r="S1211" s="75"/>
    </row>
    <row r="1212" spans="2:19" s="24" customFormat="1" ht="11.25">
      <c r="B1212" s="141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62"/>
      <c r="Q1212" s="69"/>
      <c r="R1212" s="75"/>
      <c r="S1212" s="75"/>
    </row>
    <row r="1213" spans="2:19" s="24" customFormat="1" ht="11.25">
      <c r="B1213" s="141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62"/>
      <c r="Q1213" s="69"/>
      <c r="R1213" s="75"/>
      <c r="S1213" s="75"/>
    </row>
    <row r="1214" spans="2:19" s="24" customFormat="1" ht="11.25">
      <c r="B1214" s="141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62"/>
      <c r="Q1214" s="69"/>
      <c r="R1214" s="75"/>
      <c r="S1214" s="75"/>
    </row>
    <row r="1215" spans="2:19" s="24" customFormat="1" ht="11.25">
      <c r="B1215" s="141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62"/>
      <c r="Q1215" s="69"/>
      <c r="R1215" s="75"/>
      <c r="S1215" s="75"/>
    </row>
    <row r="1216" spans="2:19" s="24" customFormat="1" ht="11.25">
      <c r="B1216" s="141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62"/>
      <c r="Q1216" s="69"/>
      <c r="R1216" s="75"/>
      <c r="S1216" s="75"/>
    </row>
    <row r="1217" spans="2:19" s="24" customFormat="1" ht="11.25">
      <c r="B1217" s="141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62"/>
      <c r="Q1217" s="69"/>
      <c r="R1217" s="75"/>
      <c r="S1217" s="75"/>
    </row>
    <row r="1218" spans="2:19" s="24" customFormat="1" ht="11.25">
      <c r="B1218" s="141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62"/>
      <c r="Q1218" s="69"/>
      <c r="R1218" s="75"/>
      <c r="S1218" s="75"/>
    </row>
    <row r="1219" spans="2:19" s="24" customFormat="1" ht="11.25">
      <c r="B1219" s="141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62"/>
      <c r="Q1219" s="69"/>
      <c r="R1219" s="75"/>
      <c r="S1219" s="75"/>
    </row>
    <row r="1220" spans="2:19" s="24" customFormat="1" ht="11.25">
      <c r="B1220" s="141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62"/>
      <c r="Q1220" s="69"/>
      <c r="R1220" s="75"/>
      <c r="S1220" s="75"/>
    </row>
    <row r="1221" spans="2:19" s="24" customFormat="1" ht="11.25">
      <c r="B1221" s="141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62"/>
      <c r="Q1221" s="69"/>
      <c r="R1221" s="75"/>
      <c r="S1221" s="75"/>
    </row>
    <row r="1222" spans="1:19" ht="12.75">
      <c r="A1222" s="24"/>
      <c r="B1222" s="141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62"/>
      <c r="O1222" s="24"/>
      <c r="Q1222" s="9"/>
      <c r="R1222" s="9"/>
      <c r="S1222" s="9"/>
    </row>
    <row r="1223" spans="1:19" ht="12.75">
      <c r="A1223" s="24"/>
      <c r="B1223" s="141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62"/>
      <c r="Q1223" s="9"/>
      <c r="R1223" s="9"/>
      <c r="S1223" s="9"/>
    </row>
    <row r="1224" spans="1:19" ht="12.75">
      <c r="A1224" s="24"/>
      <c r="B1224" s="141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62"/>
      <c r="Q1224" s="9"/>
      <c r="R1224" s="9"/>
      <c r="S1224" s="9"/>
    </row>
    <row r="1225" spans="1:19" ht="12.75">
      <c r="A1225" s="24"/>
      <c r="B1225" s="141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62"/>
      <c r="Q1225" s="9"/>
      <c r="R1225" s="9"/>
      <c r="S1225" s="9"/>
    </row>
    <row r="1226" spans="1:19" ht="12.75">
      <c r="A1226" s="24"/>
      <c r="B1226" s="141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62"/>
      <c r="Q1226" s="9"/>
      <c r="R1226" s="9"/>
      <c r="S1226" s="9"/>
    </row>
    <row r="1227" spans="1:19" ht="12.75">
      <c r="A1227" s="24"/>
      <c r="B1227" s="141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62"/>
      <c r="Q1227" s="9"/>
      <c r="R1227" s="9"/>
      <c r="S1227" s="9"/>
    </row>
    <row r="1228" spans="1:19" ht="12.75">
      <c r="A1228" s="24"/>
      <c r="B1228" s="141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62"/>
      <c r="Q1228" s="9"/>
      <c r="R1228" s="9"/>
      <c r="S1228" s="9"/>
    </row>
    <row r="1229" spans="1:19" ht="12.75">
      <c r="A1229" s="24"/>
      <c r="N1229" s="62"/>
      <c r="Q1229" s="9"/>
      <c r="R1229" s="9"/>
      <c r="S1229" s="9"/>
    </row>
    <row r="1230" spans="1:19" ht="12.75">
      <c r="A1230" s="24"/>
      <c r="N1230" s="62"/>
      <c r="Q1230" s="9"/>
      <c r="R1230" s="9"/>
      <c r="S1230" s="9"/>
    </row>
    <row r="1231" spans="1:14" ht="12.75">
      <c r="A1231" s="24"/>
      <c r="N1231" s="62"/>
    </row>
  </sheetData>
  <sheetProtection/>
  <mergeCells count="3">
    <mergeCell ref="A2:N2"/>
    <mergeCell ref="A3:N3"/>
    <mergeCell ref="A4:N4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5" scale="75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T242"/>
  <sheetViews>
    <sheetView zoomScalePageLayoutView="0" workbookViewId="0" topLeftCell="A104">
      <selection activeCell="A107" sqref="A107"/>
    </sheetView>
  </sheetViews>
  <sheetFormatPr defaultColWidth="9.140625" defaultRowHeight="12.75"/>
  <cols>
    <col min="1" max="1" width="39.57421875" style="0" customWidth="1"/>
    <col min="2" max="2" width="11.8515625" style="2" customWidth="1"/>
    <col min="3" max="5" width="11.8515625" style="0" customWidth="1"/>
    <col min="6" max="6" width="11.8515625" style="33" customWidth="1"/>
    <col min="7" max="7" width="13.421875" style="0" customWidth="1"/>
    <col min="8" max="9" width="11.8515625" style="0" customWidth="1"/>
    <col min="10" max="10" width="13.421875" style="0" customWidth="1"/>
    <col min="11" max="12" width="11.8515625" style="0" customWidth="1"/>
    <col min="13" max="13" width="13.421875" style="0" customWidth="1"/>
    <col min="14" max="14" width="12.7109375" style="67" bestFit="1" customWidth="1"/>
    <col min="15" max="15" width="13.7109375" style="0" bestFit="1" customWidth="1"/>
    <col min="16" max="16" width="14.421875" style="0" bestFit="1" customWidth="1"/>
    <col min="17" max="17" width="13.421875" style="0" bestFit="1" customWidth="1"/>
  </cols>
  <sheetData>
    <row r="1" spans="1:14" ht="15.75">
      <c r="A1" s="720" t="s">
        <v>48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</row>
    <row r="2" spans="1:14" ht="15.75">
      <c r="A2" s="720" t="s">
        <v>49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</row>
    <row r="3" spans="1:14" ht="15.75">
      <c r="A3" s="720" t="s">
        <v>887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</row>
    <row r="4" spans="1:13" ht="12.75">
      <c r="A4" s="47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</row>
    <row r="5" spans="1:14" ht="21" customHeight="1">
      <c r="A5" s="130"/>
      <c r="B5" s="201" t="s">
        <v>25</v>
      </c>
      <c r="C5" s="201" t="s">
        <v>26</v>
      </c>
      <c r="D5" s="201" t="s">
        <v>27</v>
      </c>
      <c r="E5" s="201" t="s">
        <v>21</v>
      </c>
      <c r="F5" s="202" t="s">
        <v>22</v>
      </c>
      <c r="G5" s="201" t="s">
        <v>28</v>
      </c>
      <c r="H5" s="201" t="s">
        <v>29</v>
      </c>
      <c r="I5" s="201" t="s">
        <v>30</v>
      </c>
      <c r="J5" s="201" t="s">
        <v>50</v>
      </c>
      <c r="K5" s="201" t="s">
        <v>31</v>
      </c>
      <c r="L5" s="201" t="s">
        <v>47</v>
      </c>
      <c r="M5" s="201" t="s">
        <v>51</v>
      </c>
      <c r="N5" s="188" t="s">
        <v>55</v>
      </c>
    </row>
    <row r="6" spans="1:14" ht="12.75">
      <c r="A6" s="32"/>
      <c r="B6" s="37"/>
      <c r="C6" s="37"/>
      <c r="D6" s="37"/>
      <c r="E6" s="37"/>
      <c r="F6" s="38"/>
      <c r="G6" s="37"/>
      <c r="H6" s="37"/>
      <c r="I6" s="37"/>
      <c r="J6" s="37"/>
      <c r="K6" s="37"/>
      <c r="L6" s="37"/>
      <c r="M6" s="37"/>
      <c r="N6" s="109"/>
    </row>
    <row r="7" spans="1:14" ht="12.75">
      <c r="A7" s="31" t="s">
        <v>430</v>
      </c>
      <c r="B7" s="119">
        <v>360137200</v>
      </c>
      <c r="C7" s="4">
        <f>B185</f>
        <v>340956227.422</v>
      </c>
      <c r="D7" s="4">
        <f>C185</f>
        <v>367533621.016555</v>
      </c>
      <c r="E7" s="4">
        <f aca="true" t="shared" si="0" ref="E7:M7">D185</f>
        <v>495813070.16465145</v>
      </c>
      <c r="F7" s="4">
        <f t="shared" si="0"/>
        <v>556663718.5856044</v>
      </c>
      <c r="G7" s="4">
        <f t="shared" si="0"/>
        <v>527683104.44948</v>
      </c>
      <c r="H7" s="4">
        <f t="shared" si="0"/>
        <v>456288811.7282677</v>
      </c>
      <c r="I7" s="4">
        <f t="shared" si="0"/>
        <v>442807288.66071206</v>
      </c>
      <c r="J7" s="4">
        <f t="shared" si="0"/>
        <v>432693633.03368443</v>
      </c>
      <c r="K7" s="4">
        <f t="shared" si="0"/>
        <v>418784675.30992043</v>
      </c>
      <c r="L7" s="4">
        <f t="shared" si="0"/>
        <v>406560695.5627794</v>
      </c>
      <c r="M7" s="4">
        <f t="shared" si="0"/>
        <v>384624118.5119612</v>
      </c>
      <c r="N7" s="109"/>
    </row>
    <row r="8" spans="1:14" ht="12.75">
      <c r="A8" s="32"/>
      <c r="B8" s="4"/>
      <c r="C8" s="3"/>
      <c r="D8" s="3"/>
      <c r="E8" s="3"/>
      <c r="F8" s="29"/>
      <c r="G8" s="3"/>
      <c r="H8" s="3"/>
      <c r="I8" s="3"/>
      <c r="J8" s="3"/>
      <c r="K8" s="3"/>
      <c r="L8" s="3"/>
      <c r="M8" s="3"/>
      <c r="N8" s="109"/>
    </row>
    <row r="9" spans="1:14" ht="12.75">
      <c r="A9" s="31" t="s">
        <v>52</v>
      </c>
      <c r="B9" s="4"/>
      <c r="C9" s="3"/>
      <c r="D9" s="3"/>
      <c r="E9" s="3"/>
      <c r="F9" s="29"/>
      <c r="G9" s="3"/>
      <c r="H9" s="3"/>
      <c r="I9" s="3"/>
      <c r="J9" s="3"/>
      <c r="K9" s="3"/>
      <c r="L9" s="3"/>
      <c r="M9" s="3"/>
      <c r="N9" s="109"/>
    </row>
    <row r="10" spans="1:14" ht="12.75">
      <c r="A10" s="32" t="s">
        <v>53</v>
      </c>
      <c r="B10" s="4">
        <f>Resultado!B10</f>
        <v>126548279.37</v>
      </c>
      <c r="C10" s="4">
        <f>Resultado!C10</f>
        <v>118515164.28</v>
      </c>
      <c r="D10" s="4">
        <f>Resultado!D10</f>
        <v>121899683.54</v>
      </c>
      <c r="E10" s="4">
        <f>Resultado!E10</f>
        <v>121561623.63</v>
      </c>
      <c r="F10" s="4">
        <f>Resultado!F10</f>
        <v>117954342.22</v>
      </c>
      <c r="G10" s="4">
        <f>Resultado!G10</f>
        <v>122019901.81</v>
      </c>
      <c r="H10" s="4">
        <f>Resultado!H10</f>
        <v>120053679.15</v>
      </c>
      <c r="I10" s="4">
        <f>Resultado!I10</f>
        <v>123554329.45</v>
      </c>
      <c r="J10" s="4">
        <f>Resultado!J10</f>
        <v>120432937.5</v>
      </c>
      <c r="K10" s="4">
        <f>Resultado!K10</f>
        <v>119387554.92</v>
      </c>
      <c r="L10" s="4">
        <f>Resultado!L10</f>
        <v>115187695.96</v>
      </c>
      <c r="M10" s="4">
        <f>Resultado!M10</f>
        <v>120646835.62</v>
      </c>
      <c r="N10" s="77">
        <f aca="true" t="shared" si="1" ref="N10:N19">SUM(B10:M10)</f>
        <v>1447762027.4499998</v>
      </c>
    </row>
    <row r="11" spans="1:14" ht="12.75">
      <c r="A11" s="32" t="s">
        <v>73</v>
      </c>
      <c r="B11" s="4">
        <f>Resultado!B11+Resultado!B12</f>
        <v>0</v>
      </c>
      <c r="C11" s="4">
        <f>Resultado!C11+Resultado!C12</f>
        <v>60548322.59400001</v>
      </c>
      <c r="D11" s="4">
        <f>Resultado!D11+Resultado!D12</f>
        <v>151370806.485</v>
      </c>
      <c r="E11" s="4">
        <f>Resultado!E11+Resultado!E12</f>
        <v>90822483.891</v>
      </c>
      <c r="F11" s="4">
        <f>Resultado!F11+Resultado!F12</f>
        <v>0</v>
      </c>
      <c r="G11" s="4">
        <f>Resultado!G11+Resultado!G12</f>
        <v>0</v>
      </c>
      <c r="H11" s="4">
        <f>Resultado!H11+Resultado!H12</f>
        <v>0</v>
      </c>
      <c r="I11" s="4">
        <f>Resultado!I11+Resultado!I12</f>
        <v>0</v>
      </c>
      <c r="J11" s="4">
        <f>Resultado!J11+Resultado!J12</f>
        <v>0</v>
      </c>
      <c r="K11" s="4">
        <f>Resultado!K11+Resultado!K12</f>
        <v>0</v>
      </c>
      <c r="L11" s="4">
        <f>Resultado!L11+Resultado!L12</f>
        <v>0</v>
      </c>
      <c r="M11" s="4">
        <f>Resultado!M11+Resultado!M12</f>
        <v>0</v>
      </c>
      <c r="N11" s="77">
        <f t="shared" si="1"/>
        <v>302741612.97</v>
      </c>
    </row>
    <row r="12" spans="1:14" ht="12.75">
      <c r="A12" s="3" t="s">
        <v>577</v>
      </c>
      <c r="B12" s="19">
        <v>1953513.88</v>
      </c>
      <c r="C12" s="4">
        <f>B191</f>
        <v>1702733.5685549995</v>
      </c>
      <c r="D12" s="4">
        <f>C191</f>
        <v>1721224.6210963875</v>
      </c>
      <c r="E12" s="4">
        <f>D191</f>
        <v>2108366.7279530163</v>
      </c>
      <c r="F12" s="4">
        <f>E191</f>
        <v>2581191.971875639</v>
      </c>
      <c r="G12" s="4">
        <f>F191</f>
        <v>2660867.057587711</v>
      </c>
      <c r="H12" s="4">
        <f aca="true" t="shared" si="2" ref="H12:M12">G191</f>
        <v>2409929.790444369</v>
      </c>
      <c r="I12" s="4">
        <f t="shared" si="2"/>
        <v>2197740.2509724493</v>
      </c>
      <c r="J12" s="4">
        <f t="shared" si="2"/>
        <v>2138752.304235991</v>
      </c>
      <c r="K12" s="4">
        <f t="shared" si="2"/>
        <v>2078695.7708590121</v>
      </c>
      <c r="L12" s="4">
        <f t="shared" si="2"/>
        <v>2013363.4271817496</v>
      </c>
      <c r="M12" s="4">
        <f t="shared" si="2"/>
        <v>1927962.0351868514</v>
      </c>
      <c r="N12" s="77">
        <f>SUM(B12:M12)</f>
        <v>25494341.405948177</v>
      </c>
    </row>
    <row r="13" spans="1:14" ht="12.75" hidden="1">
      <c r="A13" s="3" t="s">
        <v>322</v>
      </c>
      <c r="B13" s="4">
        <f>Resultado!B15</f>
        <v>0</v>
      </c>
      <c r="C13" s="4">
        <f>Resultado!C15</f>
        <v>0</v>
      </c>
      <c r="D13" s="4">
        <f>Resultado!D15</f>
        <v>0</v>
      </c>
      <c r="E13" s="4">
        <f>Resultado!E15</f>
        <v>0</v>
      </c>
      <c r="F13" s="4">
        <f>Resultado!F15</f>
        <v>0</v>
      </c>
      <c r="G13" s="4">
        <f>Resultado!G15</f>
        <v>0</v>
      </c>
      <c r="H13" s="4">
        <f>Resultado!H15</f>
        <v>0</v>
      </c>
      <c r="I13" s="4">
        <f>Resultado!I15</f>
        <v>0</v>
      </c>
      <c r="J13" s="4">
        <f>Resultado!J15</f>
        <v>0</v>
      </c>
      <c r="K13" s="4">
        <f>Resultado!K15</f>
        <v>0</v>
      </c>
      <c r="L13" s="4">
        <f>Resultado!L15</f>
        <v>0</v>
      </c>
      <c r="M13" s="4">
        <f>Resultado!M15</f>
        <v>0</v>
      </c>
      <c r="N13" s="77">
        <f>SUM(B13:M13)</f>
        <v>0</v>
      </c>
    </row>
    <row r="14" spans="1:14" ht="12.75">
      <c r="A14" s="3" t="s">
        <v>585</v>
      </c>
      <c r="B14" s="4">
        <f>Resultado!B14</f>
        <v>372083.34</v>
      </c>
      <c r="C14" s="4">
        <f>Resultado!C14</f>
        <v>372083.34</v>
      </c>
      <c r="D14" s="4">
        <f>Resultado!D14</f>
        <v>372083.34</v>
      </c>
      <c r="E14" s="4">
        <f>Resultado!E14</f>
        <v>372083.34</v>
      </c>
      <c r="F14" s="4">
        <f>Resultado!F14</f>
        <v>372083.34</v>
      </c>
      <c r="G14" s="4">
        <f>Resultado!G14</f>
        <v>372083.34</v>
      </c>
      <c r="H14" s="4">
        <f>Resultado!H14</f>
        <v>372083.34</v>
      </c>
      <c r="I14" s="4">
        <f>Resultado!I14</f>
        <v>372083.34</v>
      </c>
      <c r="J14" s="4">
        <f>Resultado!J14</f>
        <v>372083.34</v>
      </c>
      <c r="K14" s="4">
        <f>Resultado!K14</f>
        <v>372083.34</v>
      </c>
      <c r="L14" s="4">
        <f>Resultado!L14</f>
        <v>372083.34</v>
      </c>
      <c r="M14" s="4">
        <f>Resultado!M14</f>
        <v>372083.34</v>
      </c>
      <c r="N14" s="77">
        <f>SUM(B14:M14)</f>
        <v>4465000.079999999</v>
      </c>
    </row>
    <row r="15" spans="1:14" ht="12.75">
      <c r="A15" s="3" t="s">
        <v>324</v>
      </c>
      <c r="B15" s="4">
        <f>Resultado!B16</f>
        <v>100000</v>
      </c>
      <c r="C15" s="4">
        <f>Resultado!C16</f>
        <v>100000</v>
      </c>
      <c r="D15" s="4">
        <f>Resultado!D16</f>
        <v>100000</v>
      </c>
      <c r="E15" s="4">
        <f>Resultado!E16</f>
        <v>100000</v>
      </c>
      <c r="F15" s="4">
        <f>Resultado!F16</f>
        <v>100000</v>
      </c>
      <c r="G15" s="4">
        <f>Resultado!G16</f>
        <v>100000</v>
      </c>
      <c r="H15" s="4">
        <f>Resultado!H16</f>
        <v>100000</v>
      </c>
      <c r="I15" s="4">
        <f>Resultado!I16</f>
        <v>100000</v>
      </c>
      <c r="J15" s="4">
        <f>Resultado!J16</f>
        <v>100000</v>
      </c>
      <c r="K15" s="4">
        <f>Resultado!K16</f>
        <v>100000</v>
      </c>
      <c r="L15" s="4">
        <f>Resultado!L16</f>
        <v>100000</v>
      </c>
      <c r="M15" s="4">
        <f>Resultado!M16</f>
        <v>100000</v>
      </c>
      <c r="N15" s="77">
        <f t="shared" si="1"/>
        <v>1200000</v>
      </c>
    </row>
    <row r="16" spans="1:14" ht="12.75" hidden="1">
      <c r="A16" s="3" t="s">
        <v>364</v>
      </c>
      <c r="B16" s="4">
        <f>Resultado!B29</f>
        <v>0</v>
      </c>
      <c r="C16" s="4">
        <f>Resultado!C29</f>
        <v>0</v>
      </c>
      <c r="D16" s="4">
        <f>Resultado!D29</f>
        <v>0</v>
      </c>
      <c r="E16" s="4">
        <f>Resultado!E29</f>
        <v>0</v>
      </c>
      <c r="F16" s="4">
        <f>Resultado!F29</f>
        <v>0</v>
      </c>
      <c r="G16" s="4">
        <f>Resultado!G29</f>
        <v>0</v>
      </c>
      <c r="H16" s="4">
        <f>Resultado!H29</f>
        <v>0</v>
      </c>
      <c r="I16" s="4">
        <f>Resultado!I29</f>
        <v>0</v>
      </c>
      <c r="J16" s="4">
        <f>Resultado!J29</f>
        <v>0</v>
      </c>
      <c r="K16" s="4">
        <f>Resultado!K29</f>
        <v>0</v>
      </c>
      <c r="L16" s="4">
        <f>Resultado!L29</f>
        <v>0</v>
      </c>
      <c r="M16" s="4">
        <f>Resultado!M29</f>
        <v>0</v>
      </c>
      <c r="N16" s="77">
        <f t="shared" si="1"/>
        <v>0</v>
      </c>
    </row>
    <row r="17" spans="1:14" ht="12.75" hidden="1">
      <c r="A17" s="15" t="s">
        <v>571</v>
      </c>
      <c r="B17" s="4">
        <f>Resultado!B37</f>
        <v>58333333.34</v>
      </c>
      <c r="C17" s="4">
        <f>Resultado!C37</f>
        <v>58333333.34</v>
      </c>
      <c r="D17" s="4">
        <f>Resultado!D37</f>
        <v>58333333.34</v>
      </c>
      <c r="E17" s="4">
        <f>Resultado!E37</f>
        <v>58333333.34</v>
      </c>
      <c r="F17" s="4">
        <f>Resultado!F37</f>
        <v>58333333.34</v>
      </c>
      <c r="G17" s="4">
        <f>Resultado!G37</f>
        <v>58333333.34</v>
      </c>
      <c r="H17" s="4">
        <f>Resultado!H37</f>
        <v>58333333.34</v>
      </c>
      <c r="I17" s="4">
        <f>Resultado!I37</f>
        <v>58333333.34</v>
      </c>
      <c r="J17" s="4">
        <f>Resultado!J37</f>
        <v>58333333.34</v>
      </c>
      <c r="K17" s="4">
        <f>Resultado!K37</f>
        <v>58333333.34</v>
      </c>
      <c r="L17" s="4">
        <f>Resultado!L37</f>
        <v>58333333.34</v>
      </c>
      <c r="M17" s="4">
        <f>Resultado!M37</f>
        <v>58333333.34</v>
      </c>
      <c r="N17" s="77">
        <f t="shared" si="1"/>
        <v>700000000.0800003</v>
      </c>
    </row>
    <row r="18" spans="1:15" ht="12.75">
      <c r="A18" s="3" t="s">
        <v>13</v>
      </c>
      <c r="B18" s="4">
        <f>Resultado!B30</f>
        <v>531928.9</v>
      </c>
      <c r="C18" s="4">
        <f>Resultado!C30</f>
        <v>531928.9</v>
      </c>
      <c r="D18" s="4">
        <f>Resultado!D30</f>
        <v>531928.9</v>
      </c>
      <c r="E18" s="4">
        <f>Resultado!E30</f>
        <v>531928.9</v>
      </c>
      <c r="F18" s="4">
        <f>Resultado!F30</f>
        <v>531928.9</v>
      </c>
      <c r="G18" s="4">
        <f>Resultado!G30</f>
        <v>531928.9</v>
      </c>
      <c r="H18" s="4">
        <f>Resultado!H30</f>
        <v>531928.9</v>
      </c>
      <c r="I18" s="4">
        <f>Resultado!I30</f>
        <v>531928.9</v>
      </c>
      <c r="J18" s="4">
        <f>Resultado!J30</f>
        <v>531928.9</v>
      </c>
      <c r="K18" s="4">
        <f>Resultado!K30</f>
        <v>531928.9</v>
      </c>
      <c r="L18" s="4">
        <f>Resultado!L30</f>
        <v>531928.9</v>
      </c>
      <c r="M18" s="4">
        <f>Resultado!M30</f>
        <v>531928.9</v>
      </c>
      <c r="N18" s="77">
        <f t="shared" si="1"/>
        <v>6383146.800000002</v>
      </c>
      <c r="O18" s="2">
        <f>SUM(N11:N18)</f>
        <v>1040284101.3359485</v>
      </c>
    </row>
    <row r="19" spans="1:14" ht="12.75" hidden="1">
      <c r="A19" s="3" t="s">
        <v>365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7">
        <f t="shared" si="1"/>
        <v>0</v>
      </c>
    </row>
    <row r="20" spans="1:14" ht="12.75">
      <c r="A20" s="32"/>
      <c r="B20" s="4"/>
      <c r="C20" s="3"/>
      <c r="D20" s="3"/>
      <c r="E20" s="3"/>
      <c r="F20" s="29"/>
      <c r="G20" s="3"/>
      <c r="H20" s="3"/>
      <c r="I20" s="3"/>
      <c r="J20" s="3"/>
      <c r="K20" s="3"/>
      <c r="L20" s="3"/>
      <c r="M20" s="3"/>
      <c r="N20" s="77"/>
    </row>
    <row r="21" spans="1:15" ht="12.75">
      <c r="A21" s="31" t="s">
        <v>54</v>
      </c>
      <c r="B21" s="4">
        <f aca="true" t="shared" si="3" ref="B21:M21">SUM(B10:B20)</f>
        <v>187839138.83</v>
      </c>
      <c r="C21" s="4">
        <f t="shared" si="3"/>
        <v>240103566.02255502</v>
      </c>
      <c r="D21" s="4">
        <f t="shared" si="3"/>
        <v>334329060.2260964</v>
      </c>
      <c r="E21" s="4">
        <f t="shared" si="3"/>
        <v>273829819.828953</v>
      </c>
      <c r="F21" s="4">
        <f t="shared" si="3"/>
        <v>179872879.77187565</v>
      </c>
      <c r="G21" s="4">
        <f t="shared" si="3"/>
        <v>184018114.44758773</v>
      </c>
      <c r="H21" s="4">
        <f t="shared" si="3"/>
        <v>181800954.5204444</v>
      </c>
      <c r="I21" s="4">
        <f t="shared" si="3"/>
        <v>185089415.28097245</v>
      </c>
      <c r="J21" s="4">
        <f t="shared" si="3"/>
        <v>181909035.384236</v>
      </c>
      <c r="K21" s="4">
        <f t="shared" si="3"/>
        <v>180803596.27085903</v>
      </c>
      <c r="L21" s="4">
        <f t="shared" si="3"/>
        <v>176538404.96718177</v>
      </c>
      <c r="M21" s="4">
        <f t="shared" si="3"/>
        <v>181912143.23518687</v>
      </c>
      <c r="N21" s="16">
        <f>SUM(B21:M21)</f>
        <v>2488046128.7859488</v>
      </c>
      <c r="O21" s="2">
        <f>SUM(N10:N19)</f>
        <v>2488046128.7859483</v>
      </c>
    </row>
    <row r="22" spans="1:14" s="11" customFormat="1" ht="12.75">
      <c r="A22" s="31" t="s">
        <v>55</v>
      </c>
      <c r="B22" s="16">
        <f aca="true" t="shared" si="4" ref="B22:M22">B21+B7</f>
        <v>547976338.83</v>
      </c>
      <c r="C22" s="16">
        <f t="shared" si="4"/>
        <v>581059793.444555</v>
      </c>
      <c r="D22" s="16">
        <f t="shared" si="4"/>
        <v>701862681.2426515</v>
      </c>
      <c r="E22" s="16">
        <f t="shared" si="4"/>
        <v>769642889.9936044</v>
      </c>
      <c r="F22" s="16">
        <f t="shared" si="4"/>
        <v>736536598.35748</v>
      </c>
      <c r="G22" s="16">
        <f t="shared" si="4"/>
        <v>711701218.8970678</v>
      </c>
      <c r="H22" s="16">
        <f t="shared" si="4"/>
        <v>638089766.2487121</v>
      </c>
      <c r="I22" s="16">
        <f t="shared" si="4"/>
        <v>627896703.9416845</v>
      </c>
      <c r="J22" s="16">
        <f t="shared" si="4"/>
        <v>614602668.4179205</v>
      </c>
      <c r="K22" s="16">
        <f t="shared" si="4"/>
        <v>599588271.5807794</v>
      </c>
      <c r="L22" s="16">
        <f t="shared" si="4"/>
        <v>583099100.5299612</v>
      </c>
      <c r="M22" s="16">
        <f t="shared" si="4"/>
        <v>566536261.747148</v>
      </c>
      <c r="N22" s="16"/>
    </row>
    <row r="23" spans="1:14" ht="12.75">
      <c r="A23" s="32"/>
      <c r="B23" s="4"/>
      <c r="C23" s="3"/>
      <c r="D23" s="3"/>
      <c r="E23" s="3"/>
      <c r="F23" s="29"/>
      <c r="G23" s="3"/>
      <c r="H23" s="3"/>
      <c r="I23" s="3"/>
      <c r="J23" s="3"/>
      <c r="K23" s="3"/>
      <c r="L23" s="3"/>
      <c r="M23" s="3"/>
      <c r="N23" s="109"/>
    </row>
    <row r="24" spans="1:14" s="59" customFormat="1" ht="12">
      <c r="A24" s="301" t="s">
        <v>56</v>
      </c>
      <c r="B24" s="345"/>
      <c r="C24" s="346"/>
      <c r="D24" s="346"/>
      <c r="E24" s="346"/>
      <c r="F24" s="347"/>
      <c r="G24" s="346"/>
      <c r="H24" s="346"/>
      <c r="I24" s="346"/>
      <c r="J24" s="346"/>
      <c r="K24" s="346"/>
      <c r="L24" s="346"/>
      <c r="M24" s="346"/>
      <c r="N24" s="346"/>
    </row>
    <row r="25" spans="1:16" ht="12.75">
      <c r="A25" s="15" t="s">
        <v>69</v>
      </c>
      <c r="B25" s="4">
        <f>Resultado!B43</f>
        <v>91475438.10400002</v>
      </c>
      <c r="C25" s="4">
        <f>Resultado!C43</f>
        <v>90446225.10400002</v>
      </c>
      <c r="D25" s="4">
        <f>Resultado!D43</f>
        <v>90446225.10400002</v>
      </c>
      <c r="E25" s="4">
        <f>Resultado!E43</f>
        <v>91475438.10400002</v>
      </c>
      <c r="F25" s="4">
        <f>Resultado!F43</f>
        <v>90446225.10400002</v>
      </c>
      <c r="G25" s="4">
        <f>Resultado!G43</f>
        <v>148448308.18400005</v>
      </c>
      <c r="H25" s="4">
        <f>Resultado!H43</f>
        <v>91475438.10400002</v>
      </c>
      <c r="I25" s="4">
        <f>Resultado!I43</f>
        <v>90446225.10400002</v>
      </c>
      <c r="J25" s="4">
        <f>Resultado!J43</f>
        <v>90446225.10400002</v>
      </c>
      <c r="K25" s="4">
        <f>Resultado!K43</f>
        <v>91475438.10400002</v>
      </c>
      <c r="L25" s="4">
        <f>Resultado!L43</f>
        <v>90446225.10400002</v>
      </c>
      <c r="M25" s="4">
        <f>Resultado!M43</f>
        <v>114096224.12000002</v>
      </c>
      <c r="N25" s="77">
        <f>SUM(B25:M25)</f>
        <v>1171123635.344</v>
      </c>
      <c r="O25" s="2">
        <f>Resultado!N43</f>
        <v>1171123635.3440003</v>
      </c>
      <c r="P25" s="167">
        <f>O25-N25</f>
        <v>0</v>
      </c>
    </row>
    <row r="26" spans="1:16" ht="12.75">
      <c r="A26" s="15" t="s">
        <v>189</v>
      </c>
      <c r="B26" s="4">
        <f>Resultado!B376</f>
        <v>35671012.404</v>
      </c>
      <c r="C26" s="4">
        <f>Resultado!C376</f>
        <v>35142014.074</v>
      </c>
      <c r="D26" s="4">
        <f>Resultado!D376</f>
        <v>35053414.074</v>
      </c>
      <c r="E26" s="4">
        <f>Resultado!E376</f>
        <v>39982414.074</v>
      </c>
      <c r="F26" s="4">
        <f>Resultado!F376</f>
        <v>45097766.574</v>
      </c>
      <c r="G26" s="4">
        <f>Resultado!G376</f>
        <v>34249847.4048</v>
      </c>
      <c r="H26" s="4">
        <f>Resultado!H376</f>
        <v>37045426.574</v>
      </c>
      <c r="I26" s="4">
        <f>Resultado!I376</f>
        <v>33993326.574</v>
      </c>
      <c r="J26" s="4">
        <f>Resultado!J376</f>
        <v>35835326.574</v>
      </c>
      <c r="K26" s="4">
        <f>Resultado!K376</f>
        <v>34503937.684</v>
      </c>
      <c r="L26" s="4">
        <f>Resultado!L376</f>
        <v>34934537.684</v>
      </c>
      <c r="M26" s="4">
        <f>Resultado!M376</f>
        <v>42008943.03672</v>
      </c>
      <c r="N26" s="77">
        <f>SUM(B26:M26)</f>
        <v>443517966.73152</v>
      </c>
      <c r="O26" s="2">
        <f>Resultado!N376</f>
        <v>443517966.73152006</v>
      </c>
      <c r="P26" s="167">
        <f>O26-N26</f>
        <v>0</v>
      </c>
    </row>
    <row r="27" spans="1:16" ht="12.75">
      <c r="A27" s="15" t="s">
        <v>112</v>
      </c>
      <c r="B27" s="4">
        <f>Resultado!B696</f>
        <v>6690189.26</v>
      </c>
      <c r="C27" s="4">
        <f>Resultado!C696</f>
        <v>9670110.26</v>
      </c>
      <c r="D27" s="4">
        <f>Resultado!D696</f>
        <v>5570569.26</v>
      </c>
      <c r="E27" s="4">
        <f>Resultado!E696</f>
        <v>3540122.59</v>
      </c>
      <c r="F27" s="4">
        <f>Resultado!F696</f>
        <v>5746952.59</v>
      </c>
      <c r="G27" s="4">
        <f>Resultado!G696</f>
        <v>3814603.59</v>
      </c>
      <c r="H27" s="4">
        <f>Resultado!H696</f>
        <v>3508122.59</v>
      </c>
      <c r="I27" s="4">
        <f>Resultado!I696</f>
        <v>3608122.59</v>
      </c>
      <c r="J27" s="4">
        <f>Resultado!J696</f>
        <v>3865122.59</v>
      </c>
      <c r="K27" s="4">
        <f>Resultado!K696</f>
        <v>4235603.59</v>
      </c>
      <c r="L27" s="4">
        <f>Resultado!L696</f>
        <v>3758122.59</v>
      </c>
      <c r="M27" s="4">
        <f>Resultado!M696</f>
        <v>3608122.59</v>
      </c>
      <c r="N27" s="77">
        <f>SUM(B27:M27)</f>
        <v>57615764.09000002</v>
      </c>
      <c r="O27" s="2">
        <f>Resultado!N696</f>
        <v>57615764.089999996</v>
      </c>
      <c r="P27" s="167">
        <f>O27-N27</f>
        <v>0</v>
      </c>
    </row>
    <row r="28" spans="1:16" ht="12.75">
      <c r="A28" s="15" t="s">
        <v>70</v>
      </c>
      <c r="B28" s="4">
        <f>Resultado!B1033</f>
        <v>60432200.69000001</v>
      </c>
      <c r="C28" s="4">
        <f>Resultado!C1033</f>
        <v>63536291.69000001</v>
      </c>
      <c r="D28" s="4">
        <f>Resultado!D1033</f>
        <v>60528284.69000001</v>
      </c>
      <c r="E28" s="4">
        <f>Resultado!E1033</f>
        <v>60330416.69000001</v>
      </c>
      <c r="F28" s="4">
        <f>Resultado!F1033</f>
        <v>60553369.69000001</v>
      </c>
      <c r="G28" s="4">
        <f>Resultado!G1033</f>
        <v>60330416.69000001</v>
      </c>
      <c r="H28" s="4">
        <f>Resultado!H1033</f>
        <v>60451310.37000001</v>
      </c>
      <c r="I28" s="4">
        <f>Resultado!I1033</f>
        <v>60330416.69000001</v>
      </c>
      <c r="J28" s="4">
        <f>Resultado!J1033</f>
        <v>60528284.69000001</v>
      </c>
      <c r="K28" s="4">
        <f>Resultado!K1033</f>
        <v>60330416.69000001</v>
      </c>
      <c r="L28" s="4">
        <f>Resultado!L1033</f>
        <v>60330416.69000001</v>
      </c>
      <c r="M28" s="4">
        <f>Resultado!M1033</f>
        <v>60330416.69000001</v>
      </c>
      <c r="N28" s="77">
        <f>SUM(B28:M28)</f>
        <v>728012241.9600003</v>
      </c>
      <c r="O28" s="10" t="e">
        <f>Resultado!S1022</f>
        <v>#REF!</v>
      </c>
      <c r="P28" s="167" t="e">
        <f>O28-N28</f>
        <v>#REF!</v>
      </c>
    </row>
    <row r="29" spans="1:16" ht="12.75">
      <c r="A29" s="27" t="s">
        <v>190</v>
      </c>
      <c r="B29" s="4">
        <f>Resultado!B1095</f>
        <v>0</v>
      </c>
      <c r="C29" s="4">
        <f>Resultado!C1095</f>
        <v>0</v>
      </c>
      <c r="D29" s="4">
        <f>Resultado!D1095</f>
        <v>0</v>
      </c>
      <c r="E29" s="4">
        <f>Resultado!E1095</f>
        <v>0</v>
      </c>
      <c r="F29" s="4">
        <f>Resultado!F1095</f>
        <v>0</v>
      </c>
      <c r="G29" s="4">
        <f>Resultado!G1095</f>
        <v>0</v>
      </c>
      <c r="H29" s="4">
        <f>Resultado!H1095</f>
        <v>0</v>
      </c>
      <c r="I29" s="4">
        <f>Resultado!I1095</f>
        <v>0</v>
      </c>
      <c r="J29" s="4">
        <f>Resultado!J1095</f>
        <v>0</v>
      </c>
      <c r="K29" s="4">
        <f>Resultado!K1095</f>
        <v>0</v>
      </c>
      <c r="L29" s="4">
        <f>Resultado!L1095</f>
        <v>0</v>
      </c>
      <c r="M29" s="4">
        <f>Resultado!M1095</f>
        <v>0</v>
      </c>
      <c r="N29" s="77">
        <f>SUM(B29:M29)</f>
        <v>0</v>
      </c>
      <c r="O29" s="2">
        <f>Resultado!N1095</f>
        <v>0</v>
      </c>
      <c r="P29" s="167">
        <f>O29-N29</f>
        <v>0</v>
      </c>
    </row>
    <row r="30" spans="1:14" ht="12.75">
      <c r="A30" s="27"/>
      <c r="B30" s="4"/>
      <c r="C30" s="3"/>
      <c r="D30" s="3"/>
      <c r="E30" s="3"/>
      <c r="F30" s="29"/>
      <c r="G30" s="3"/>
      <c r="H30" s="3"/>
      <c r="I30" s="3"/>
      <c r="J30" s="3"/>
      <c r="K30" s="3"/>
      <c r="L30" s="3"/>
      <c r="M30" s="3"/>
      <c r="N30" s="109"/>
    </row>
    <row r="31" spans="1:17" s="11" customFormat="1" ht="12.75">
      <c r="A31" s="31" t="s">
        <v>54</v>
      </c>
      <c r="B31" s="16">
        <f>SUM(B25:B29)</f>
        <v>194268840.45800003</v>
      </c>
      <c r="C31" s="16">
        <f aca="true" t="shared" si="5" ref="C31:M31">SUM(C25:C29)</f>
        <v>198794641.12800002</v>
      </c>
      <c r="D31" s="16">
        <f t="shared" si="5"/>
        <v>191598493.12800002</v>
      </c>
      <c r="E31" s="16">
        <f t="shared" si="5"/>
        <v>195328391.458</v>
      </c>
      <c r="F31" s="223">
        <f t="shared" si="5"/>
        <v>201844313.95800006</v>
      </c>
      <c r="G31" s="16">
        <f t="shared" si="5"/>
        <v>246843175.86880004</v>
      </c>
      <c r="H31" s="16">
        <f t="shared" si="5"/>
        <v>192480297.63800004</v>
      </c>
      <c r="I31" s="16">
        <f t="shared" si="5"/>
        <v>188378090.95800003</v>
      </c>
      <c r="J31" s="16">
        <f t="shared" si="5"/>
        <v>190674958.95800003</v>
      </c>
      <c r="K31" s="16">
        <f t="shared" si="5"/>
        <v>190545396.06800002</v>
      </c>
      <c r="L31" s="16">
        <f t="shared" si="5"/>
        <v>189469302.06800002</v>
      </c>
      <c r="M31" s="16">
        <f t="shared" si="5"/>
        <v>220043706.43672</v>
      </c>
      <c r="N31" s="16">
        <f>SUM(B31:M31)</f>
        <v>2400269608.12552</v>
      </c>
      <c r="O31" s="88">
        <f>SUM(N25:N29)</f>
        <v>2400269608.12552</v>
      </c>
      <c r="Q31" s="88" t="e">
        <f>N35+N40+#REF!+N150</f>
        <v>#REF!</v>
      </c>
    </row>
    <row r="32" spans="1:14" s="225" customFormat="1" ht="12.75">
      <c r="A32" s="224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</row>
    <row r="33" spans="1:16" ht="12.75" hidden="1">
      <c r="A33" s="32" t="s">
        <v>57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98"/>
      <c r="P33" s="10" t="e">
        <f>B7+N21-N31-N40-N142-#REF!-N149</f>
        <v>#REF!</v>
      </c>
    </row>
    <row r="34" spans="1:14" ht="12.75" hidden="1">
      <c r="A34" s="32"/>
      <c r="B34" s="4"/>
      <c r="C34" s="3"/>
      <c r="D34" s="3"/>
      <c r="E34" s="3"/>
      <c r="F34" s="29"/>
      <c r="G34" s="3"/>
      <c r="H34" s="3"/>
      <c r="I34" s="3"/>
      <c r="J34" s="3"/>
      <c r="K34" s="3"/>
      <c r="L34" s="3"/>
      <c r="M34" s="3"/>
      <c r="N34" s="109"/>
    </row>
    <row r="35" spans="1:14" s="11" customFormat="1" ht="12.75">
      <c r="A35" s="31" t="s">
        <v>58</v>
      </c>
      <c r="B35" s="16">
        <f>B31-B33</f>
        <v>194268840.45800003</v>
      </c>
      <c r="C35" s="16">
        <f aca="true" t="shared" si="6" ref="C35:M35">C31-C33</f>
        <v>198794641.12800002</v>
      </c>
      <c r="D35" s="16">
        <f t="shared" si="6"/>
        <v>191598493.12800002</v>
      </c>
      <c r="E35" s="16">
        <f t="shared" si="6"/>
        <v>195328391.458</v>
      </c>
      <c r="F35" s="16">
        <f t="shared" si="6"/>
        <v>201844313.95800006</v>
      </c>
      <c r="G35" s="16">
        <f t="shared" si="6"/>
        <v>246843175.86880004</v>
      </c>
      <c r="H35" s="16">
        <f t="shared" si="6"/>
        <v>192480297.63800004</v>
      </c>
      <c r="I35" s="16">
        <f t="shared" si="6"/>
        <v>188378090.95800003</v>
      </c>
      <c r="J35" s="16">
        <f t="shared" si="6"/>
        <v>190674958.95800003</v>
      </c>
      <c r="K35" s="16">
        <f t="shared" si="6"/>
        <v>190545396.06800002</v>
      </c>
      <c r="L35" s="16">
        <f t="shared" si="6"/>
        <v>189469302.06800002</v>
      </c>
      <c r="M35" s="16">
        <f t="shared" si="6"/>
        <v>220043706.43672</v>
      </c>
      <c r="N35" s="16">
        <f>SUM(B35:M35)</f>
        <v>2400269608.12552</v>
      </c>
    </row>
    <row r="36" spans="1:17" ht="13.5" customHeight="1">
      <c r="A36" s="32"/>
      <c r="B36" s="4"/>
      <c r="C36" s="3"/>
      <c r="D36" s="3"/>
      <c r="E36" s="3"/>
      <c r="F36" s="29"/>
      <c r="G36" s="3"/>
      <c r="H36" s="3"/>
      <c r="I36" s="3"/>
      <c r="J36" s="3"/>
      <c r="K36" s="3"/>
      <c r="L36" s="3"/>
      <c r="M36" s="3"/>
      <c r="N36" s="109"/>
      <c r="P36" s="2">
        <f>N35+N40</f>
        <v>2400269608.12552</v>
      </c>
      <c r="Q36" s="2" t="e">
        <f>P36-#REF!-#REF!</f>
        <v>#REF!</v>
      </c>
    </row>
    <row r="37" spans="1:14" ht="12.75" hidden="1">
      <c r="A37" s="31" t="s">
        <v>65</v>
      </c>
      <c r="B37" s="4"/>
      <c r="C37" s="3"/>
      <c r="D37" s="3"/>
      <c r="E37" s="3"/>
      <c r="F37" s="29"/>
      <c r="G37" s="3"/>
      <c r="H37" s="3"/>
      <c r="I37" s="3"/>
      <c r="J37" s="3"/>
      <c r="K37" s="3"/>
      <c r="L37" s="3"/>
      <c r="M37" s="3"/>
      <c r="N37" s="109"/>
    </row>
    <row r="38" spans="1:14" ht="12.75" hidden="1">
      <c r="A38" s="32" t="s">
        <v>463</v>
      </c>
      <c r="B38" s="4"/>
      <c r="C38" s="4"/>
      <c r="D38" s="17"/>
      <c r="E38" s="77"/>
      <c r="F38" s="4"/>
      <c r="G38" s="4"/>
      <c r="H38" s="4"/>
      <c r="I38" s="4"/>
      <c r="J38" s="4"/>
      <c r="K38" s="4"/>
      <c r="L38" s="17"/>
      <c r="M38" s="17"/>
      <c r="N38" s="77">
        <f>SUM(B38:M38)</f>
        <v>0</v>
      </c>
    </row>
    <row r="39" spans="1:14" s="120" customFormat="1" ht="12.75" hidden="1">
      <c r="A39" s="173" t="s">
        <v>209</v>
      </c>
      <c r="B39" s="159"/>
      <c r="C39" s="159"/>
      <c r="D39" s="4"/>
      <c r="E39" s="26"/>
      <c r="F39" s="174"/>
      <c r="G39" s="26"/>
      <c r="H39" s="26"/>
      <c r="I39" s="34"/>
      <c r="J39" s="34"/>
      <c r="K39" s="26"/>
      <c r="L39" s="26"/>
      <c r="M39" s="26"/>
      <c r="N39" s="199">
        <f>SUM(B39:M39)</f>
        <v>0</v>
      </c>
    </row>
    <row r="40" spans="1:16" s="11" customFormat="1" ht="12.75" hidden="1">
      <c r="A40" s="31" t="s">
        <v>66</v>
      </c>
      <c r="B40" s="16">
        <f>SUM(B38:B39)</f>
        <v>0</v>
      </c>
      <c r="C40" s="16">
        <f aca="true" t="shared" si="7" ref="C40:M40">SUM(C38:C39)</f>
        <v>0</v>
      </c>
      <c r="D40" s="16">
        <f t="shared" si="7"/>
        <v>0</v>
      </c>
      <c r="E40" s="16">
        <f t="shared" si="7"/>
        <v>0</v>
      </c>
      <c r="F40" s="16">
        <f t="shared" si="7"/>
        <v>0</v>
      </c>
      <c r="G40" s="16">
        <f t="shared" si="7"/>
        <v>0</v>
      </c>
      <c r="H40" s="16">
        <f t="shared" si="7"/>
        <v>0</v>
      </c>
      <c r="I40" s="16">
        <f t="shared" si="7"/>
        <v>0</v>
      </c>
      <c r="J40" s="16">
        <f t="shared" si="7"/>
        <v>0</v>
      </c>
      <c r="K40" s="16">
        <f t="shared" si="7"/>
        <v>0</v>
      </c>
      <c r="L40" s="16">
        <f t="shared" si="7"/>
        <v>0</v>
      </c>
      <c r="M40" s="16">
        <f t="shared" si="7"/>
        <v>0</v>
      </c>
      <c r="N40" s="200">
        <f>SUM(B40:M40)</f>
        <v>0</v>
      </c>
      <c r="O40" s="88">
        <f>SUM(N38:N39)</f>
        <v>0</v>
      </c>
      <c r="P40" s="88">
        <f>O40-N40</f>
        <v>0</v>
      </c>
    </row>
    <row r="41" spans="1:16" s="11" customFormat="1" ht="12.75" hidden="1">
      <c r="A41" s="3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200"/>
      <c r="O41" s="88"/>
      <c r="P41" s="88"/>
    </row>
    <row r="42" spans="1:14" s="59" customFormat="1" ht="15" customHeight="1">
      <c r="A42" s="301" t="s">
        <v>59</v>
      </c>
      <c r="B42" s="345"/>
      <c r="C42" s="346"/>
      <c r="D42" s="346"/>
      <c r="E42" s="346"/>
      <c r="F42" s="347"/>
      <c r="G42" s="346"/>
      <c r="H42" s="346"/>
      <c r="I42" s="346"/>
      <c r="J42" s="346"/>
      <c r="K42" s="346"/>
      <c r="L42" s="346"/>
      <c r="M42" s="346"/>
      <c r="N42" s="345">
        <f aca="true" t="shared" si="8" ref="N42:N47">SUM(B42:M42)</f>
        <v>0</v>
      </c>
    </row>
    <row r="43" spans="1:15" s="88" customFormat="1" ht="12.75">
      <c r="A43" s="64" t="s">
        <v>60</v>
      </c>
      <c r="B43" s="16">
        <f>SUM(B44:B67)</f>
        <v>413850</v>
      </c>
      <c r="C43" s="16">
        <f aca="true" t="shared" si="9" ref="C43:M43">SUM(C44:C67)</f>
        <v>110000</v>
      </c>
      <c r="D43" s="16">
        <f t="shared" si="9"/>
        <v>4750000</v>
      </c>
      <c r="E43" s="16">
        <f t="shared" si="9"/>
        <v>2350000</v>
      </c>
      <c r="F43" s="16">
        <f t="shared" si="9"/>
        <v>4650000</v>
      </c>
      <c r="G43" s="16">
        <f t="shared" si="9"/>
        <v>50000</v>
      </c>
      <c r="H43" s="16">
        <f t="shared" si="9"/>
        <v>50000</v>
      </c>
      <c r="I43" s="16">
        <f t="shared" si="9"/>
        <v>72800</v>
      </c>
      <c r="J43" s="16">
        <f t="shared" si="9"/>
        <v>50000</v>
      </c>
      <c r="K43" s="16">
        <f t="shared" si="9"/>
        <v>50000</v>
      </c>
      <c r="L43" s="16">
        <f t="shared" si="9"/>
        <v>50000</v>
      </c>
      <c r="M43" s="16">
        <f t="shared" si="9"/>
        <v>50000</v>
      </c>
      <c r="N43" s="16">
        <f>SUM(B43:M43)</f>
        <v>12646650</v>
      </c>
      <c r="O43" s="88">
        <f>SUM(N44:N67)</f>
        <v>12646650</v>
      </c>
    </row>
    <row r="44" spans="1:14" s="88" customFormat="1" ht="12.75">
      <c r="A44" s="63" t="s">
        <v>913</v>
      </c>
      <c r="B44" s="16"/>
      <c r="C44" s="16"/>
      <c r="D44" s="16"/>
      <c r="E44" s="16"/>
      <c r="F44" s="4">
        <v>3000000</v>
      </c>
      <c r="G44" s="16"/>
      <c r="H44" s="16"/>
      <c r="I44" s="16"/>
      <c r="J44" s="16"/>
      <c r="K44" s="16"/>
      <c r="L44" s="16"/>
      <c r="M44" s="16"/>
      <c r="N44" s="4">
        <f t="shared" si="8"/>
        <v>3000000</v>
      </c>
    </row>
    <row r="45" spans="1:14" s="88" customFormat="1" ht="12.75">
      <c r="A45" s="63" t="s">
        <v>916</v>
      </c>
      <c r="B45" s="16"/>
      <c r="C45" s="16"/>
      <c r="D45" s="4">
        <v>4700000</v>
      </c>
      <c r="E45" s="4"/>
      <c r="F45" s="4"/>
      <c r="G45" s="16"/>
      <c r="H45" s="16"/>
      <c r="I45" s="16"/>
      <c r="J45" s="16"/>
      <c r="K45" s="16"/>
      <c r="L45" s="16"/>
      <c r="M45" s="16"/>
      <c r="N45" s="4">
        <f t="shared" si="8"/>
        <v>4700000</v>
      </c>
    </row>
    <row r="46" spans="1:14" s="88" customFormat="1" ht="12.75">
      <c r="A46" s="63" t="s">
        <v>917</v>
      </c>
      <c r="B46" s="16"/>
      <c r="C46" s="16"/>
      <c r="D46" s="4"/>
      <c r="E46" s="4">
        <v>2300000</v>
      </c>
      <c r="F46" s="4"/>
      <c r="G46" s="16"/>
      <c r="H46" s="16"/>
      <c r="I46" s="16"/>
      <c r="J46" s="16"/>
      <c r="K46" s="16"/>
      <c r="L46" s="16"/>
      <c r="M46" s="16"/>
      <c r="N46" s="4">
        <f t="shared" si="8"/>
        <v>2300000</v>
      </c>
    </row>
    <row r="47" spans="1:14" s="88" customFormat="1" ht="12.75">
      <c r="A47" s="63" t="s">
        <v>918</v>
      </c>
      <c r="B47" s="16"/>
      <c r="C47" s="16"/>
      <c r="D47" s="4"/>
      <c r="E47" s="4"/>
      <c r="F47" s="4">
        <v>1600000</v>
      </c>
      <c r="G47" s="16"/>
      <c r="H47" s="16"/>
      <c r="I47" s="16"/>
      <c r="J47" s="16"/>
      <c r="K47" s="16"/>
      <c r="L47" s="16"/>
      <c r="M47" s="16"/>
      <c r="N47" s="4">
        <f t="shared" si="8"/>
        <v>1600000</v>
      </c>
    </row>
    <row r="48" spans="1:16" s="88" customFormat="1" ht="12.75">
      <c r="A48" s="63" t="s">
        <v>853</v>
      </c>
      <c r="B48" s="4">
        <v>50000</v>
      </c>
      <c r="C48" s="4">
        <v>50000</v>
      </c>
      <c r="D48" s="4">
        <v>50000</v>
      </c>
      <c r="E48" s="4">
        <v>50000</v>
      </c>
      <c r="F48" s="4">
        <v>50000</v>
      </c>
      <c r="G48" s="4">
        <v>50000</v>
      </c>
      <c r="H48" s="4">
        <v>50000</v>
      </c>
      <c r="I48" s="4">
        <v>50000</v>
      </c>
      <c r="J48" s="4">
        <v>50000</v>
      </c>
      <c r="K48" s="4">
        <v>50000</v>
      </c>
      <c r="L48" s="4">
        <v>50000</v>
      </c>
      <c r="M48" s="4">
        <v>50000</v>
      </c>
      <c r="N48" s="4">
        <f>SUM(B48:M48)</f>
        <v>600000</v>
      </c>
      <c r="O48" s="88">
        <f>SUM(N48:N66)</f>
        <v>1033450</v>
      </c>
      <c r="P48" s="88">
        <f>5000000/12</f>
        <v>416666.6666666667</v>
      </c>
    </row>
    <row r="49" spans="1:14" s="88" customFormat="1" ht="12.75">
      <c r="A49" s="487" t="s">
        <v>712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53">
        <f aca="true" t="shared" si="10" ref="N49:N67">SUM(B49:M49)</f>
        <v>0</v>
      </c>
    </row>
    <row r="50" spans="1:14" s="88" customFormat="1" ht="12.75">
      <c r="A50" s="63" t="s">
        <v>718</v>
      </c>
      <c r="B50" s="4">
        <f>35000*3</f>
        <v>105000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4">
        <f t="shared" si="10"/>
        <v>105000</v>
      </c>
    </row>
    <row r="51" spans="1:14" s="88" customFormat="1" ht="12.75">
      <c r="A51" s="63" t="s">
        <v>719</v>
      </c>
      <c r="B51" s="4">
        <v>68000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4">
        <f t="shared" si="10"/>
        <v>68000</v>
      </c>
    </row>
    <row r="52" spans="1:14" s="88" customFormat="1" ht="12.75">
      <c r="A52" s="63" t="s">
        <v>985</v>
      </c>
      <c r="B52" s="4">
        <v>16000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4">
        <f t="shared" si="10"/>
        <v>16000</v>
      </c>
    </row>
    <row r="53" spans="1:14" s="167" customFormat="1" ht="12.75">
      <c r="A53" s="487" t="s">
        <v>723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>
        <f t="shared" si="10"/>
        <v>0</v>
      </c>
    </row>
    <row r="54" spans="1:14" s="489" customFormat="1" ht="12.75">
      <c r="A54" s="488" t="s">
        <v>986</v>
      </c>
      <c r="B54" s="159">
        <v>40000</v>
      </c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>
        <f t="shared" si="10"/>
        <v>40000</v>
      </c>
    </row>
    <row r="55" spans="1:14" s="167" customFormat="1" ht="12.75">
      <c r="A55" s="63" t="s">
        <v>734</v>
      </c>
      <c r="B55" s="4">
        <v>41650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>
        <f t="shared" si="10"/>
        <v>41650</v>
      </c>
    </row>
    <row r="56" spans="1:14" s="167" customFormat="1" ht="12.75">
      <c r="A56" s="63" t="s">
        <v>950</v>
      </c>
      <c r="B56" s="4"/>
      <c r="C56" s="4"/>
      <c r="D56" s="4"/>
      <c r="E56" s="4"/>
      <c r="F56" s="4"/>
      <c r="G56" s="4"/>
      <c r="H56" s="4"/>
      <c r="I56" s="4">
        <f>10000*2</f>
        <v>20000</v>
      </c>
      <c r="J56" s="4"/>
      <c r="K56" s="4"/>
      <c r="L56" s="4"/>
      <c r="M56" s="4"/>
      <c r="N56" s="4">
        <f t="shared" si="10"/>
        <v>20000</v>
      </c>
    </row>
    <row r="57" spans="1:14" s="167" customFormat="1" ht="12.75">
      <c r="A57" s="63" t="s">
        <v>970</v>
      </c>
      <c r="B57" s="4"/>
      <c r="C57" s="4"/>
      <c r="D57" s="4"/>
      <c r="E57" s="4"/>
      <c r="F57" s="4"/>
      <c r="G57" s="4"/>
      <c r="H57" s="4"/>
      <c r="I57" s="4">
        <f>1400*2</f>
        <v>2800</v>
      </c>
      <c r="J57" s="4"/>
      <c r="K57" s="4"/>
      <c r="L57" s="4"/>
      <c r="M57" s="4"/>
      <c r="N57" s="4">
        <f t="shared" si="10"/>
        <v>2800</v>
      </c>
    </row>
    <row r="58" spans="1:14" s="167" customFormat="1" ht="12.75">
      <c r="A58" s="488" t="s">
        <v>987</v>
      </c>
      <c r="B58" s="159"/>
      <c r="C58" s="159">
        <v>30000</v>
      </c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>
        <f t="shared" si="10"/>
        <v>30000</v>
      </c>
    </row>
    <row r="59" spans="1:14" s="167" customFormat="1" ht="12.75">
      <c r="A59" s="63" t="s">
        <v>956</v>
      </c>
      <c r="B59" s="4">
        <f>25000*2</f>
        <v>50000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>
        <f t="shared" si="10"/>
        <v>50000</v>
      </c>
    </row>
    <row r="60" spans="1:14" s="167" customFormat="1" ht="12.75">
      <c r="A60" s="487" t="s">
        <v>773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>
        <f t="shared" si="10"/>
        <v>0</v>
      </c>
    </row>
    <row r="61" spans="1:14" s="167" customFormat="1" ht="12.75">
      <c r="A61" s="487" t="s">
        <v>774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>
        <f t="shared" si="10"/>
        <v>0</v>
      </c>
    </row>
    <row r="62" spans="1:14" s="167" customFormat="1" ht="12.75">
      <c r="A62" s="63" t="s">
        <v>781</v>
      </c>
      <c r="B62" s="4">
        <v>30000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>
        <f t="shared" si="10"/>
        <v>30000</v>
      </c>
    </row>
    <row r="63" spans="1:14" s="167" customFormat="1" ht="12.75">
      <c r="A63" s="487" t="s">
        <v>789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>
        <f t="shared" si="10"/>
        <v>0</v>
      </c>
    </row>
    <row r="64" spans="1:14" s="167" customFormat="1" ht="12.75">
      <c r="A64" s="63" t="s">
        <v>790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>
        <f t="shared" si="10"/>
        <v>0</v>
      </c>
    </row>
    <row r="65" spans="1:14" s="2" customFormat="1" ht="12.75">
      <c r="A65" s="63" t="s">
        <v>798</v>
      </c>
      <c r="B65" s="4"/>
      <c r="C65" s="4">
        <v>30000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>
        <f t="shared" si="10"/>
        <v>30000</v>
      </c>
    </row>
    <row r="66" spans="1:14" s="2" customFormat="1" ht="12.75">
      <c r="A66" s="487" t="s">
        <v>877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>
        <f t="shared" si="10"/>
        <v>0</v>
      </c>
    </row>
    <row r="67" spans="1:14" s="2" customFormat="1" ht="12.75">
      <c r="A67" s="63" t="s">
        <v>971</v>
      </c>
      <c r="B67" s="4">
        <f>2*6600</f>
        <v>13200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53">
        <f t="shared" si="10"/>
        <v>13200</v>
      </c>
    </row>
    <row r="68" spans="1:15" s="88" customFormat="1" ht="12.75">
      <c r="A68" s="64" t="s">
        <v>61</v>
      </c>
      <c r="B68" s="16">
        <f>SUM(B69:B95)</f>
        <v>491866.67</v>
      </c>
      <c r="C68" s="16">
        <f aca="true" t="shared" si="11" ref="C68:N68">SUM(C69:C95)</f>
        <v>453766.67</v>
      </c>
      <c r="D68" s="16">
        <f t="shared" si="11"/>
        <v>453166.67</v>
      </c>
      <c r="E68" s="16">
        <f t="shared" si="11"/>
        <v>435266.67</v>
      </c>
      <c r="F68" s="16">
        <f t="shared" si="11"/>
        <v>416666.67</v>
      </c>
      <c r="G68" s="16">
        <f t="shared" si="11"/>
        <v>416666.67</v>
      </c>
      <c r="H68" s="16">
        <f t="shared" si="11"/>
        <v>416666.67</v>
      </c>
      <c r="I68" s="16">
        <f t="shared" si="11"/>
        <v>416666.67</v>
      </c>
      <c r="J68" s="16">
        <f t="shared" si="11"/>
        <v>416666.67</v>
      </c>
      <c r="K68" s="16">
        <f t="shared" si="11"/>
        <v>416666.67</v>
      </c>
      <c r="L68" s="16">
        <f t="shared" si="11"/>
        <v>416666.67</v>
      </c>
      <c r="M68" s="16">
        <f t="shared" si="11"/>
        <v>416666.67</v>
      </c>
      <c r="N68" s="16">
        <f t="shared" si="11"/>
        <v>5158100.04</v>
      </c>
      <c r="O68" s="88" t="e">
        <f>SUM(#REF!)</f>
        <v>#REF!</v>
      </c>
    </row>
    <row r="69" spans="1:14" s="88" customFormat="1" ht="12.75">
      <c r="A69" s="63" t="s">
        <v>711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>
        <f aca="true" t="shared" si="12" ref="N69:N97">SUM(B69:M69)</f>
        <v>0</v>
      </c>
    </row>
    <row r="70" spans="1:14" s="88" customFormat="1" ht="12.75">
      <c r="A70" s="63" t="s">
        <v>976</v>
      </c>
      <c r="B70" s="4">
        <f>8000*2</f>
        <v>16000</v>
      </c>
      <c r="C70" s="4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>
        <f t="shared" si="12"/>
        <v>16000</v>
      </c>
    </row>
    <row r="71" spans="1:14" s="88" customFormat="1" ht="12.75">
      <c r="A71" s="63" t="s">
        <v>715</v>
      </c>
      <c r="B71" s="4"/>
      <c r="C71" s="4">
        <v>5300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>
        <f t="shared" si="12"/>
        <v>5300</v>
      </c>
    </row>
    <row r="72" spans="1:14" s="222" customFormat="1" ht="12.75">
      <c r="A72" s="239" t="s">
        <v>716</v>
      </c>
      <c r="B72" s="240"/>
      <c r="C72" s="240"/>
      <c r="D72" s="240">
        <v>11200</v>
      </c>
      <c r="E72" s="240"/>
      <c r="F72" s="240"/>
      <c r="G72" s="240"/>
      <c r="H72" s="240"/>
      <c r="I72" s="240"/>
      <c r="J72" s="240"/>
      <c r="K72" s="240"/>
      <c r="L72" s="240"/>
      <c r="M72" s="240"/>
      <c r="N72" s="16">
        <f t="shared" si="12"/>
        <v>11200</v>
      </c>
    </row>
    <row r="73" spans="1:14" s="222" customFormat="1" ht="12.75">
      <c r="A73" s="239" t="s">
        <v>717</v>
      </c>
      <c r="B73" s="240"/>
      <c r="C73" s="240"/>
      <c r="D73" s="240">
        <v>4800</v>
      </c>
      <c r="E73" s="240"/>
      <c r="F73" s="240"/>
      <c r="G73" s="240"/>
      <c r="H73" s="240"/>
      <c r="I73" s="240"/>
      <c r="J73" s="240"/>
      <c r="K73" s="240"/>
      <c r="L73" s="240"/>
      <c r="M73" s="240"/>
      <c r="N73" s="16">
        <f t="shared" si="12"/>
        <v>4800</v>
      </c>
    </row>
    <row r="74" spans="1:14" s="222" customFormat="1" ht="12.75">
      <c r="A74" s="239" t="s">
        <v>740</v>
      </c>
      <c r="B74" s="240">
        <f>12000*2</f>
        <v>24000</v>
      </c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16">
        <f t="shared" si="12"/>
        <v>24000</v>
      </c>
    </row>
    <row r="75" spans="1:14" s="222" customFormat="1" ht="12.75">
      <c r="A75" s="239" t="s">
        <v>726</v>
      </c>
      <c r="B75" s="240"/>
      <c r="C75" s="240"/>
      <c r="D75" s="240">
        <v>11200</v>
      </c>
      <c r="E75" s="240"/>
      <c r="F75" s="240"/>
      <c r="G75" s="240"/>
      <c r="H75" s="240"/>
      <c r="I75" s="240"/>
      <c r="J75" s="240"/>
      <c r="K75" s="240"/>
      <c r="L75" s="240"/>
      <c r="M75" s="240"/>
      <c r="N75" s="16">
        <f t="shared" si="12"/>
        <v>11200</v>
      </c>
    </row>
    <row r="76" spans="1:14" s="222" customFormat="1" ht="12.75">
      <c r="A76" s="239" t="s">
        <v>727</v>
      </c>
      <c r="B76" s="4">
        <f>5300*3</f>
        <v>15900</v>
      </c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16">
        <f t="shared" si="12"/>
        <v>15900</v>
      </c>
    </row>
    <row r="77" spans="1:14" s="222" customFormat="1" ht="12.75">
      <c r="A77" s="239" t="s">
        <v>728</v>
      </c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16">
        <f t="shared" si="12"/>
        <v>0</v>
      </c>
    </row>
    <row r="78" spans="1:14" s="222" customFormat="1" ht="12.75">
      <c r="A78" s="239" t="s">
        <v>739</v>
      </c>
      <c r="B78" s="240"/>
      <c r="C78" s="4">
        <f>5300*6</f>
        <v>31800</v>
      </c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16">
        <f t="shared" si="12"/>
        <v>31800</v>
      </c>
    </row>
    <row r="79" spans="1:14" s="222" customFormat="1" ht="12.75">
      <c r="A79" s="239" t="s">
        <v>741</v>
      </c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16">
        <f t="shared" si="12"/>
        <v>0</v>
      </c>
    </row>
    <row r="80" spans="1:14" s="222" customFormat="1" ht="12.75">
      <c r="A80" s="239" t="s">
        <v>747</v>
      </c>
      <c r="B80" s="240"/>
      <c r="C80" s="240"/>
      <c r="D80" s="240"/>
      <c r="E80" s="240">
        <v>9300</v>
      </c>
      <c r="F80" s="240"/>
      <c r="G80" s="240"/>
      <c r="H80" s="240"/>
      <c r="I80" s="240"/>
      <c r="J80" s="240"/>
      <c r="K80" s="240"/>
      <c r="L80" s="240"/>
      <c r="M80" s="240"/>
      <c r="N80" s="16">
        <f t="shared" si="12"/>
        <v>9300</v>
      </c>
    </row>
    <row r="81" spans="1:14" s="222" customFormat="1" ht="12.75">
      <c r="A81" s="239" t="s">
        <v>750</v>
      </c>
      <c r="B81" s="240"/>
      <c r="C81" s="240"/>
      <c r="D81" s="240"/>
      <c r="E81" s="240">
        <v>9300</v>
      </c>
      <c r="F81" s="240"/>
      <c r="G81" s="240"/>
      <c r="H81" s="240"/>
      <c r="I81" s="240"/>
      <c r="J81" s="240"/>
      <c r="K81" s="240"/>
      <c r="L81" s="240"/>
      <c r="M81" s="240"/>
      <c r="N81" s="16">
        <f t="shared" si="12"/>
        <v>9300</v>
      </c>
    </row>
    <row r="82" spans="1:14" s="222" customFormat="1" ht="12.75">
      <c r="A82" s="239" t="s">
        <v>751</v>
      </c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16">
        <f t="shared" si="12"/>
        <v>0</v>
      </c>
    </row>
    <row r="83" spans="1:14" s="222" customFormat="1" ht="12.75">
      <c r="A83" s="239" t="s">
        <v>752</v>
      </c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16">
        <f t="shared" si="12"/>
        <v>0</v>
      </c>
    </row>
    <row r="84" spans="1:14" s="222" customFormat="1" ht="12.75">
      <c r="A84" s="239" t="s">
        <v>977</v>
      </c>
      <c r="B84" s="240"/>
      <c r="C84" s="240"/>
      <c r="D84" s="240">
        <v>9300</v>
      </c>
      <c r="E84" s="240"/>
      <c r="F84" s="240"/>
      <c r="G84" s="240"/>
      <c r="H84" s="240"/>
      <c r="I84" s="240"/>
      <c r="J84" s="240"/>
      <c r="K84" s="240"/>
      <c r="L84" s="240"/>
      <c r="M84" s="240"/>
      <c r="N84" s="16"/>
    </row>
    <row r="85" spans="1:14" s="222" customFormat="1" ht="12.75">
      <c r="A85" s="239" t="s">
        <v>759</v>
      </c>
      <c r="B85" s="240">
        <f>6*2800</f>
        <v>16800</v>
      </c>
      <c r="C85" s="240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16">
        <f t="shared" si="12"/>
        <v>16800</v>
      </c>
    </row>
    <row r="86" spans="1:14" s="222" customFormat="1" ht="12.75">
      <c r="A86" s="239" t="s">
        <v>760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16">
        <f t="shared" si="12"/>
        <v>0</v>
      </c>
    </row>
    <row r="87" spans="1:14" s="222" customFormat="1" ht="12.75">
      <c r="A87" s="239" t="s">
        <v>761</v>
      </c>
      <c r="B87" s="240">
        <v>2500</v>
      </c>
      <c r="C87" s="240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16">
        <f t="shared" si="12"/>
        <v>2500</v>
      </c>
    </row>
    <row r="88" spans="1:14" s="222" customFormat="1" ht="12.75">
      <c r="A88" s="239" t="s">
        <v>765</v>
      </c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16">
        <f t="shared" si="12"/>
        <v>0</v>
      </c>
    </row>
    <row r="89" spans="1:14" s="222" customFormat="1" ht="12.75">
      <c r="A89" s="239" t="s">
        <v>766</v>
      </c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16">
        <f t="shared" si="12"/>
        <v>0</v>
      </c>
    </row>
    <row r="90" spans="1:14" s="222" customFormat="1" ht="12.75">
      <c r="A90" s="239" t="s">
        <v>771</v>
      </c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16">
        <f t="shared" si="12"/>
        <v>0</v>
      </c>
    </row>
    <row r="91" spans="1:14" s="222" customFormat="1" ht="12.75">
      <c r="A91" s="239" t="s">
        <v>772</v>
      </c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16">
        <f t="shared" si="12"/>
        <v>0</v>
      </c>
    </row>
    <row r="92" spans="1:14" s="222" customFormat="1" ht="12.75">
      <c r="A92" s="239" t="s">
        <v>775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16">
        <f t="shared" si="12"/>
        <v>0</v>
      </c>
    </row>
    <row r="93" spans="1:14" s="222" customFormat="1" ht="12.75">
      <c r="A93" s="239" t="s">
        <v>776</v>
      </c>
      <c r="B93" s="240"/>
      <c r="C93" s="240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16">
        <f t="shared" si="12"/>
        <v>0</v>
      </c>
    </row>
    <row r="94" spans="1:14" s="222" customFormat="1" ht="12.75">
      <c r="A94" s="239" t="s">
        <v>811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16">
        <f t="shared" si="12"/>
        <v>0</v>
      </c>
    </row>
    <row r="95" spans="1:14" s="222" customFormat="1" ht="12.75">
      <c r="A95" s="239" t="s">
        <v>858</v>
      </c>
      <c r="B95" s="240">
        <v>416666.67</v>
      </c>
      <c r="C95" s="240">
        <v>416666.67</v>
      </c>
      <c r="D95" s="240">
        <v>416666.67</v>
      </c>
      <c r="E95" s="240">
        <v>416666.67</v>
      </c>
      <c r="F95" s="240">
        <v>416666.67</v>
      </c>
      <c r="G95" s="240">
        <v>416666.67</v>
      </c>
      <c r="H95" s="240">
        <v>416666.67</v>
      </c>
      <c r="I95" s="240">
        <v>416666.67</v>
      </c>
      <c r="J95" s="240">
        <v>416666.67</v>
      </c>
      <c r="K95" s="240">
        <v>416666.67</v>
      </c>
      <c r="L95" s="240">
        <v>416666.67</v>
      </c>
      <c r="M95" s="240">
        <v>416666.67</v>
      </c>
      <c r="N95" s="4">
        <f t="shared" si="12"/>
        <v>5000000.04</v>
      </c>
    </row>
    <row r="96" spans="1:14" s="311" customFormat="1" ht="12.75">
      <c r="A96" s="372" t="s">
        <v>862</v>
      </c>
      <c r="B96" s="373">
        <f>B97</f>
        <v>83333.34</v>
      </c>
      <c r="C96" s="373">
        <f aca="true" t="shared" si="13" ref="C96:M96">C97</f>
        <v>83333.34</v>
      </c>
      <c r="D96" s="373">
        <f t="shared" si="13"/>
        <v>83333.34</v>
      </c>
      <c r="E96" s="373">
        <f t="shared" si="13"/>
        <v>83333.34</v>
      </c>
      <c r="F96" s="373">
        <f t="shared" si="13"/>
        <v>83333.34</v>
      </c>
      <c r="G96" s="373">
        <f t="shared" si="13"/>
        <v>83333.34</v>
      </c>
      <c r="H96" s="373">
        <f t="shared" si="13"/>
        <v>83333.34</v>
      </c>
      <c r="I96" s="373">
        <f t="shared" si="13"/>
        <v>83333.34</v>
      </c>
      <c r="J96" s="373">
        <f t="shared" si="13"/>
        <v>83333.34</v>
      </c>
      <c r="K96" s="373">
        <f>K97</f>
        <v>83333.34</v>
      </c>
      <c r="L96" s="373">
        <f t="shared" si="13"/>
        <v>83333.34</v>
      </c>
      <c r="M96" s="373">
        <f t="shared" si="13"/>
        <v>83333.34</v>
      </c>
      <c r="N96" s="16">
        <f t="shared" si="12"/>
        <v>1000000.0799999997</v>
      </c>
    </row>
    <row r="97" spans="1:14" s="222" customFormat="1" ht="12.75">
      <c r="A97" s="239" t="s">
        <v>863</v>
      </c>
      <c r="B97" s="240">
        <v>83333.34</v>
      </c>
      <c r="C97" s="240">
        <v>83333.34</v>
      </c>
      <c r="D97" s="240">
        <v>83333.34</v>
      </c>
      <c r="E97" s="240">
        <v>83333.34</v>
      </c>
      <c r="F97" s="240">
        <v>83333.34</v>
      </c>
      <c r="G97" s="240">
        <v>83333.34</v>
      </c>
      <c r="H97" s="240">
        <v>83333.34</v>
      </c>
      <c r="I97" s="240">
        <v>83333.34</v>
      </c>
      <c r="J97" s="240">
        <v>83333.34</v>
      </c>
      <c r="K97" s="240">
        <v>83333.34</v>
      </c>
      <c r="L97" s="240">
        <v>83333.34</v>
      </c>
      <c r="M97" s="240">
        <v>83333.34</v>
      </c>
      <c r="N97" s="4">
        <f t="shared" si="12"/>
        <v>1000000.0799999997</v>
      </c>
    </row>
    <row r="98" spans="1:15" s="88" customFormat="1" ht="12.75">
      <c r="A98" s="64" t="s">
        <v>278</v>
      </c>
      <c r="B98" s="16">
        <f>SUM(B99:B102)</f>
        <v>0</v>
      </c>
      <c r="C98" s="16">
        <f>SUM(C99:C102)</f>
        <v>0</v>
      </c>
      <c r="D98" s="16">
        <f>SUM(D99:D102)</f>
        <v>1735744</v>
      </c>
      <c r="E98" s="16">
        <f>SUM(E99:E102)</f>
        <v>6000000</v>
      </c>
      <c r="F98" s="16">
        <f aca="true" t="shared" si="14" ref="F98:M98">SUM(F99:F102)</f>
        <v>0</v>
      </c>
      <c r="G98" s="16">
        <f t="shared" si="14"/>
        <v>2500000</v>
      </c>
      <c r="H98" s="16">
        <f t="shared" si="14"/>
        <v>0</v>
      </c>
      <c r="I98" s="16">
        <f t="shared" si="14"/>
        <v>0</v>
      </c>
      <c r="J98" s="16">
        <f t="shared" si="14"/>
        <v>0</v>
      </c>
      <c r="K98" s="16">
        <f t="shared" si="14"/>
        <v>0</v>
      </c>
      <c r="L98" s="16">
        <f t="shared" si="14"/>
        <v>0</v>
      </c>
      <c r="M98" s="16">
        <f t="shared" si="14"/>
        <v>0</v>
      </c>
      <c r="N98" s="16">
        <f>SUM(B98:M98)</f>
        <v>10235744</v>
      </c>
      <c r="O98" s="88" t="e">
        <f>SUM(#REF!)</f>
        <v>#REF!</v>
      </c>
    </row>
    <row r="99" spans="1:14" s="88" customFormat="1" ht="12.75">
      <c r="A99" s="63" t="s">
        <v>989</v>
      </c>
      <c r="B99" s="16"/>
      <c r="C99" s="16"/>
      <c r="D99" s="4">
        <f>1735744</f>
        <v>1735744</v>
      </c>
      <c r="E99" s="4"/>
      <c r="F99" s="4"/>
      <c r="G99" s="4"/>
      <c r="H99" s="16"/>
      <c r="I99" s="16"/>
      <c r="J99" s="16"/>
      <c r="K99" s="16"/>
      <c r="L99" s="16"/>
      <c r="M99" s="16"/>
      <c r="N99" s="16">
        <f>SUM(B99:M99)</f>
        <v>1735744</v>
      </c>
    </row>
    <row r="100" spans="1:14" s="88" customFormat="1" ht="12.75">
      <c r="A100" s="63" t="s">
        <v>980</v>
      </c>
      <c r="B100" s="16"/>
      <c r="C100" s="16"/>
      <c r="D100" s="4"/>
      <c r="E100" s="4">
        <f>5000000*50%</f>
        <v>2500000</v>
      </c>
      <c r="F100" s="4"/>
      <c r="G100" s="4">
        <f>5000000*50%</f>
        <v>2500000</v>
      </c>
      <c r="H100" s="16"/>
      <c r="I100" s="16"/>
      <c r="J100" s="16"/>
      <c r="K100" s="16"/>
      <c r="L100" s="16"/>
      <c r="M100" s="16"/>
      <c r="N100" s="16">
        <f>SUM(B100:M100)</f>
        <v>5000000</v>
      </c>
    </row>
    <row r="101" spans="1:14" s="88" customFormat="1" ht="12.75">
      <c r="A101" s="63" t="s">
        <v>879</v>
      </c>
      <c r="B101" s="16"/>
      <c r="C101" s="16"/>
      <c r="D101" s="4"/>
      <c r="E101" s="4"/>
      <c r="F101" s="4"/>
      <c r="G101" s="4"/>
      <c r="H101" s="16"/>
      <c r="I101" s="16"/>
      <c r="J101" s="16"/>
      <c r="K101" s="16"/>
      <c r="L101" s="16"/>
      <c r="M101" s="16"/>
      <c r="N101" s="16">
        <f>SUM(B101:M101)</f>
        <v>0</v>
      </c>
    </row>
    <row r="102" spans="1:14" s="88" customFormat="1" ht="12.75">
      <c r="A102" s="63" t="s">
        <v>914</v>
      </c>
      <c r="B102" s="16"/>
      <c r="C102" s="16"/>
      <c r="D102" s="4"/>
      <c r="E102" s="4">
        <v>3500000</v>
      </c>
      <c r="F102" s="4"/>
      <c r="G102" s="4"/>
      <c r="H102" s="16"/>
      <c r="I102" s="16"/>
      <c r="J102" s="16"/>
      <c r="K102" s="16"/>
      <c r="L102" s="16"/>
      <c r="M102" s="16"/>
      <c r="N102" s="16">
        <f>SUM(B102:M102)</f>
        <v>3500000</v>
      </c>
    </row>
    <row r="103" spans="1:15" s="88" customFormat="1" ht="12.75">
      <c r="A103" s="64" t="s">
        <v>62</v>
      </c>
      <c r="B103" s="16">
        <f>SUM(B104:B108)</f>
        <v>0</v>
      </c>
      <c r="C103" s="16">
        <f aca="true" t="shared" si="15" ref="C103:M103">SUM(C104:C108)</f>
        <v>400000</v>
      </c>
      <c r="D103" s="16">
        <f t="shared" si="15"/>
        <v>650000</v>
      </c>
      <c r="E103" s="16">
        <f t="shared" si="15"/>
        <v>600000</v>
      </c>
      <c r="F103" s="16">
        <f t="shared" si="15"/>
        <v>0</v>
      </c>
      <c r="G103" s="16">
        <f t="shared" si="15"/>
        <v>600000</v>
      </c>
      <c r="H103" s="16">
        <f t="shared" si="15"/>
        <v>400000</v>
      </c>
      <c r="I103" s="16">
        <f t="shared" si="15"/>
        <v>4400000</v>
      </c>
      <c r="J103" s="16">
        <f t="shared" si="15"/>
        <v>0</v>
      </c>
      <c r="K103" s="16">
        <f t="shared" si="15"/>
        <v>0</v>
      </c>
      <c r="L103" s="16">
        <f t="shared" si="15"/>
        <v>6600000</v>
      </c>
      <c r="M103" s="16">
        <f t="shared" si="15"/>
        <v>0</v>
      </c>
      <c r="N103" s="16">
        <f aca="true" t="shared" si="16" ref="N103:N109">SUM(B103:M103)</f>
        <v>13650000</v>
      </c>
      <c r="O103" s="88" t="e">
        <f>SUM(#REF!)</f>
        <v>#REF!</v>
      </c>
    </row>
    <row r="104" spans="1:14" s="167" customFormat="1" ht="12.75">
      <c r="A104" s="63" t="s">
        <v>713</v>
      </c>
      <c r="B104" s="4"/>
      <c r="C104" s="4"/>
      <c r="D104" s="4">
        <v>650000</v>
      </c>
      <c r="E104" s="4"/>
      <c r="F104" s="4"/>
      <c r="G104" s="4"/>
      <c r="H104" s="4"/>
      <c r="I104" s="4"/>
      <c r="J104" s="4"/>
      <c r="K104" s="4"/>
      <c r="L104" s="4"/>
      <c r="M104" s="4"/>
      <c r="N104" s="16">
        <f t="shared" si="16"/>
        <v>650000</v>
      </c>
    </row>
    <row r="105" spans="1:14" s="167" customFormat="1" ht="12.75">
      <c r="A105" s="63" t="s">
        <v>954</v>
      </c>
      <c r="B105" s="4"/>
      <c r="C105" s="4">
        <v>400000</v>
      </c>
      <c r="D105" s="4"/>
      <c r="E105" s="4">
        <v>600000</v>
      </c>
      <c r="F105" s="4"/>
      <c r="G105" s="4">
        <v>600000</v>
      </c>
      <c r="H105" s="4">
        <v>400000</v>
      </c>
      <c r="I105" s="4"/>
      <c r="J105" s="4"/>
      <c r="K105" s="4"/>
      <c r="L105" s="4"/>
      <c r="M105" s="4"/>
      <c r="N105" s="16">
        <f t="shared" si="16"/>
        <v>2000000</v>
      </c>
    </row>
    <row r="106" spans="1:14" s="167" customFormat="1" ht="12.75">
      <c r="A106" s="63" t="s">
        <v>870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6">
        <f t="shared" si="16"/>
        <v>0</v>
      </c>
    </row>
    <row r="107" spans="1:14" s="167" customFormat="1" ht="12.75">
      <c r="A107" s="63" t="s">
        <v>919</v>
      </c>
      <c r="B107" s="4"/>
      <c r="C107" s="4"/>
      <c r="D107" s="4"/>
      <c r="E107" s="4"/>
      <c r="F107" s="4"/>
      <c r="G107" s="4"/>
      <c r="H107" s="4"/>
      <c r="I107" s="4">
        <f>22000000*20%</f>
        <v>4400000</v>
      </c>
      <c r="J107" s="4"/>
      <c r="K107" s="4"/>
      <c r="L107" s="4">
        <f>22000000*30%</f>
        <v>6600000</v>
      </c>
      <c r="M107" s="4"/>
      <c r="N107" s="16">
        <f>SUM(B107:M107)</f>
        <v>11000000</v>
      </c>
    </row>
    <row r="108" spans="1:14" s="2" customFormat="1" ht="12.75">
      <c r="A108" s="6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f t="shared" si="16"/>
        <v>0</v>
      </c>
    </row>
    <row r="109" spans="1:15" s="88" customFormat="1" ht="12.75">
      <c r="A109" s="64" t="s">
        <v>63</v>
      </c>
      <c r="B109" s="16">
        <f>SUM(B110:B115)</f>
        <v>3041666.6799999997</v>
      </c>
      <c r="C109" s="16">
        <f>SUM(C110:C115)</f>
        <v>3041666.6799999997</v>
      </c>
      <c r="D109" s="16">
        <f aca="true" t="shared" si="17" ref="D109:M109">SUM(D110:D115)</f>
        <v>541666.68</v>
      </c>
      <c r="E109" s="16">
        <f t="shared" si="17"/>
        <v>541666.68</v>
      </c>
      <c r="F109" s="16">
        <f t="shared" si="17"/>
        <v>541666.68</v>
      </c>
      <c r="G109" s="16">
        <f t="shared" si="17"/>
        <v>541666.68</v>
      </c>
      <c r="H109" s="16">
        <f t="shared" si="17"/>
        <v>541666.68</v>
      </c>
      <c r="I109" s="16">
        <f t="shared" si="17"/>
        <v>541666.68</v>
      </c>
      <c r="J109" s="16">
        <f t="shared" si="17"/>
        <v>541666.68</v>
      </c>
      <c r="K109" s="16">
        <f t="shared" si="17"/>
        <v>541666.68</v>
      </c>
      <c r="L109" s="16">
        <f t="shared" si="17"/>
        <v>541666.68</v>
      </c>
      <c r="M109" s="16">
        <f t="shared" si="17"/>
        <v>541666.68</v>
      </c>
      <c r="N109" s="16">
        <f t="shared" si="16"/>
        <v>11500000.159999996</v>
      </c>
      <c r="O109" s="88">
        <f>N109</f>
        <v>11500000.159999996</v>
      </c>
    </row>
    <row r="110" spans="1:14" s="2" customFormat="1" ht="12.75">
      <c r="A110" s="63" t="s">
        <v>812</v>
      </c>
      <c r="B110" s="4">
        <v>2500000</v>
      </c>
      <c r="C110" s="4">
        <v>2500000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40">
        <f aca="true" t="shared" si="18" ref="N110:N123">SUM(B110:M110)</f>
        <v>5000000</v>
      </c>
    </row>
    <row r="111" spans="1:14" s="2" customFormat="1" ht="12.75">
      <c r="A111" s="63" t="s">
        <v>860</v>
      </c>
      <c r="B111" s="4">
        <v>83333.33</v>
      </c>
      <c r="C111" s="4">
        <v>83333.33</v>
      </c>
      <c r="D111" s="4">
        <v>83333.33</v>
      </c>
      <c r="E111" s="4">
        <v>83333.33</v>
      </c>
      <c r="F111" s="4">
        <v>83333.33</v>
      </c>
      <c r="G111" s="4">
        <v>83333.33</v>
      </c>
      <c r="H111" s="4">
        <v>83333.33</v>
      </c>
      <c r="I111" s="4">
        <v>83333.33</v>
      </c>
      <c r="J111" s="4">
        <v>83333.33</v>
      </c>
      <c r="K111" s="4">
        <v>83333.33</v>
      </c>
      <c r="L111" s="4">
        <v>83333.33</v>
      </c>
      <c r="M111" s="4">
        <v>83333.33</v>
      </c>
      <c r="N111" s="240">
        <f t="shared" si="18"/>
        <v>999999.9599999998</v>
      </c>
    </row>
    <row r="112" spans="1:14" s="2" customFormat="1" ht="12.75">
      <c r="A112" s="63" t="s">
        <v>861</v>
      </c>
      <c r="B112" s="4">
        <v>208333.34</v>
      </c>
      <c r="C112" s="4">
        <v>208333.34</v>
      </c>
      <c r="D112" s="4">
        <v>208333.34</v>
      </c>
      <c r="E112" s="4">
        <v>208333.34</v>
      </c>
      <c r="F112" s="4">
        <v>208333.34</v>
      </c>
      <c r="G112" s="4">
        <v>208333.34</v>
      </c>
      <c r="H112" s="4">
        <v>208333.34</v>
      </c>
      <c r="I112" s="4">
        <v>208333.34</v>
      </c>
      <c r="J112" s="4">
        <v>208333.34</v>
      </c>
      <c r="K112" s="4">
        <v>208333.34</v>
      </c>
      <c r="L112" s="4">
        <v>208333.34</v>
      </c>
      <c r="M112" s="4">
        <v>208333.34</v>
      </c>
      <c r="N112" s="240">
        <f t="shared" si="18"/>
        <v>2500000.08</v>
      </c>
    </row>
    <row r="113" spans="1:14" s="2" customFormat="1" ht="12.75">
      <c r="A113" s="63" t="s">
        <v>864</v>
      </c>
      <c r="B113" s="4">
        <v>83333.34</v>
      </c>
      <c r="C113" s="4">
        <v>83333.34</v>
      </c>
      <c r="D113" s="4">
        <v>83333.34</v>
      </c>
      <c r="E113" s="4">
        <v>83333.34</v>
      </c>
      <c r="F113" s="4">
        <v>83333.34</v>
      </c>
      <c r="G113" s="4">
        <v>83333.34</v>
      </c>
      <c r="H113" s="4">
        <v>83333.34</v>
      </c>
      <c r="I113" s="4">
        <v>83333.34</v>
      </c>
      <c r="J113" s="4">
        <v>83333.34</v>
      </c>
      <c r="K113" s="4">
        <v>83333.34</v>
      </c>
      <c r="L113" s="4">
        <v>83333.34</v>
      </c>
      <c r="M113" s="4">
        <v>83333.34</v>
      </c>
      <c r="N113" s="240">
        <f t="shared" si="18"/>
        <v>1000000.0799999997</v>
      </c>
    </row>
    <row r="114" spans="1:14" s="2" customFormat="1" ht="12.75">
      <c r="A114" s="63" t="s">
        <v>865</v>
      </c>
      <c r="B114" s="4">
        <v>166666.67</v>
      </c>
      <c r="C114" s="4">
        <v>166666.67</v>
      </c>
      <c r="D114" s="4">
        <v>166666.67</v>
      </c>
      <c r="E114" s="4">
        <v>166666.67</v>
      </c>
      <c r="F114" s="4">
        <v>166666.67</v>
      </c>
      <c r="G114" s="4">
        <v>166666.67</v>
      </c>
      <c r="H114" s="4">
        <v>166666.67</v>
      </c>
      <c r="I114" s="4">
        <v>166666.67</v>
      </c>
      <c r="J114" s="4">
        <v>166666.67</v>
      </c>
      <c r="K114" s="4">
        <v>166666.67</v>
      </c>
      <c r="L114" s="4">
        <v>166666.67</v>
      </c>
      <c r="M114" s="4">
        <v>166666.67</v>
      </c>
      <c r="N114" s="240">
        <f t="shared" si="18"/>
        <v>2000000.0399999998</v>
      </c>
    </row>
    <row r="115" spans="1:14" s="2" customFormat="1" ht="12.75">
      <c r="A115" s="63" t="s">
        <v>915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240">
        <f t="shared" si="18"/>
        <v>0</v>
      </c>
    </row>
    <row r="116" spans="1:15" s="88" customFormat="1" ht="12.75">
      <c r="A116" s="64" t="s">
        <v>347</v>
      </c>
      <c r="B116" s="16">
        <f aca="true" t="shared" si="19" ref="B116:M116">SUM(B117:B119)</f>
        <v>7390041</v>
      </c>
      <c r="C116" s="16">
        <f t="shared" si="19"/>
        <v>0</v>
      </c>
      <c r="D116" s="16">
        <f t="shared" si="19"/>
        <v>4926694</v>
      </c>
      <c r="E116" s="16">
        <f t="shared" si="19"/>
        <v>0</v>
      </c>
      <c r="F116" s="16">
        <f t="shared" si="19"/>
        <v>0</v>
      </c>
      <c r="G116" s="16">
        <f t="shared" si="19"/>
        <v>0</v>
      </c>
      <c r="H116" s="16">
        <f t="shared" si="19"/>
        <v>0</v>
      </c>
      <c r="I116" s="16">
        <f t="shared" si="19"/>
        <v>0</v>
      </c>
      <c r="J116" s="16">
        <f t="shared" si="19"/>
        <v>0</v>
      </c>
      <c r="K116" s="16">
        <f t="shared" si="19"/>
        <v>0</v>
      </c>
      <c r="L116" s="16">
        <f t="shared" si="19"/>
        <v>0</v>
      </c>
      <c r="M116" s="16">
        <f t="shared" si="19"/>
        <v>0</v>
      </c>
      <c r="N116" s="16">
        <f t="shared" si="18"/>
        <v>12316735</v>
      </c>
      <c r="O116" s="88">
        <f>SUM(N117:N119)</f>
        <v>12316735</v>
      </c>
    </row>
    <row r="117" spans="1:14" s="167" customFormat="1" ht="12.75">
      <c r="A117" s="63" t="s">
        <v>979</v>
      </c>
      <c r="B117" s="4">
        <f>12316735*60%</f>
        <v>7390041</v>
      </c>
      <c r="C117" s="4"/>
      <c r="D117" s="4">
        <f>12316735*40%</f>
        <v>4926694</v>
      </c>
      <c r="E117" s="4"/>
      <c r="F117" s="4"/>
      <c r="G117" s="4"/>
      <c r="H117" s="4"/>
      <c r="I117" s="4"/>
      <c r="J117" s="4"/>
      <c r="K117" s="4"/>
      <c r="L117" s="4"/>
      <c r="M117" s="4"/>
      <c r="N117" s="240">
        <f t="shared" si="18"/>
        <v>12316735</v>
      </c>
    </row>
    <row r="118" spans="1:14" s="88" customFormat="1" ht="12.75">
      <c r="A118" s="63" t="s">
        <v>793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240">
        <f t="shared" si="18"/>
        <v>0</v>
      </c>
    </row>
    <row r="119" spans="1:14" s="88" customFormat="1" ht="12.75">
      <c r="A119" s="63" t="s">
        <v>949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240">
        <f t="shared" si="18"/>
        <v>0</v>
      </c>
    </row>
    <row r="120" spans="1:14" s="88" customFormat="1" ht="12.75">
      <c r="A120" s="64" t="s">
        <v>478</v>
      </c>
      <c r="B120" s="16">
        <v>0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240">
        <f t="shared" si="18"/>
        <v>0</v>
      </c>
    </row>
    <row r="121" spans="1:15" s="88" customFormat="1" ht="12.75">
      <c r="A121" s="64" t="s">
        <v>444</v>
      </c>
      <c r="B121" s="16">
        <f>SUM(B122)</f>
        <v>0</v>
      </c>
      <c r="C121" s="16">
        <f aca="true" t="shared" si="20" ref="C121:M121">SUM(C122)</f>
        <v>0</v>
      </c>
      <c r="D121" s="16">
        <f t="shared" si="20"/>
        <v>0</v>
      </c>
      <c r="E121" s="16">
        <f t="shared" si="20"/>
        <v>0</v>
      </c>
      <c r="F121" s="16">
        <f t="shared" si="20"/>
        <v>0</v>
      </c>
      <c r="G121" s="16">
        <f t="shared" si="20"/>
        <v>0</v>
      </c>
      <c r="H121" s="16">
        <f t="shared" si="20"/>
        <v>0</v>
      </c>
      <c r="I121" s="16">
        <f t="shared" si="20"/>
        <v>0</v>
      </c>
      <c r="J121" s="16">
        <f t="shared" si="20"/>
        <v>0</v>
      </c>
      <c r="K121" s="16">
        <f t="shared" si="20"/>
        <v>0</v>
      </c>
      <c r="L121" s="16">
        <f t="shared" si="20"/>
        <v>0</v>
      </c>
      <c r="M121" s="16">
        <f t="shared" si="20"/>
        <v>0</v>
      </c>
      <c r="N121" s="16">
        <f t="shared" si="18"/>
        <v>0</v>
      </c>
      <c r="O121" s="88" t="e">
        <f>SUM(#REF!)</f>
        <v>#REF!</v>
      </c>
    </row>
    <row r="122" spans="1:14" s="88" customFormat="1" ht="12.75">
      <c r="A122" s="64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1:14" s="88" customFormat="1" ht="12.75">
      <c r="A123" s="64" t="s">
        <v>233</v>
      </c>
      <c r="B123" s="16">
        <f>B124</f>
        <v>0</v>
      </c>
      <c r="C123" s="16">
        <f aca="true" t="shared" si="21" ref="C123:M123">C124</f>
        <v>0</v>
      </c>
      <c r="D123" s="16">
        <f t="shared" si="21"/>
        <v>0</v>
      </c>
      <c r="E123" s="16">
        <f t="shared" si="21"/>
        <v>0</v>
      </c>
      <c r="F123" s="16">
        <f t="shared" si="21"/>
        <v>0</v>
      </c>
      <c r="G123" s="16">
        <f t="shared" si="21"/>
        <v>0</v>
      </c>
      <c r="H123" s="16">
        <f t="shared" si="21"/>
        <v>0</v>
      </c>
      <c r="I123" s="16">
        <f t="shared" si="21"/>
        <v>0</v>
      </c>
      <c r="J123" s="16">
        <f t="shared" si="21"/>
        <v>0</v>
      </c>
      <c r="K123" s="16">
        <f t="shared" si="21"/>
        <v>0</v>
      </c>
      <c r="L123" s="16">
        <f t="shared" si="21"/>
        <v>0</v>
      </c>
      <c r="M123" s="16">
        <f t="shared" si="21"/>
        <v>0</v>
      </c>
      <c r="N123" s="16">
        <f t="shared" si="18"/>
        <v>0</v>
      </c>
    </row>
    <row r="124" spans="1:14" s="88" customFormat="1" ht="12.75">
      <c r="A124" s="64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1:15" s="88" customFormat="1" ht="12.75">
      <c r="A125" s="64" t="s">
        <v>199</v>
      </c>
      <c r="B125" s="16">
        <f>SUM(B126:B135)</f>
        <v>20000</v>
      </c>
      <c r="C125" s="16">
        <f>SUM(C126:C135)</f>
        <v>38000</v>
      </c>
      <c r="D125" s="16">
        <f aca="true" t="shared" si="22" ref="D125:M125">SUM(D126:D135)</f>
        <v>0</v>
      </c>
      <c r="E125" s="16">
        <f t="shared" si="22"/>
        <v>80000</v>
      </c>
      <c r="F125" s="16">
        <f t="shared" si="22"/>
        <v>7000</v>
      </c>
      <c r="G125" s="16">
        <f t="shared" si="22"/>
        <v>22800</v>
      </c>
      <c r="H125" s="16">
        <f t="shared" si="22"/>
        <v>0</v>
      </c>
      <c r="I125" s="16">
        <f t="shared" si="22"/>
        <v>0</v>
      </c>
      <c r="J125" s="16">
        <f t="shared" si="22"/>
        <v>0</v>
      </c>
      <c r="K125" s="16">
        <f t="shared" si="22"/>
        <v>80000</v>
      </c>
      <c r="L125" s="16">
        <f t="shared" si="22"/>
        <v>3500</v>
      </c>
      <c r="M125" s="16">
        <f t="shared" si="22"/>
        <v>7600</v>
      </c>
      <c r="N125" s="16">
        <f>SUM(B125:M125)</f>
        <v>258900</v>
      </c>
      <c r="O125" s="88" t="e">
        <f>SUM(#REF!)</f>
        <v>#REF!</v>
      </c>
    </row>
    <row r="126" spans="1:14" s="2" customFormat="1" ht="12.75">
      <c r="A126" s="235" t="s">
        <v>742</v>
      </c>
      <c r="B126" s="4"/>
      <c r="C126" s="4"/>
      <c r="D126" s="4"/>
      <c r="E126" s="4">
        <f>80000</f>
        <v>80000</v>
      </c>
      <c r="F126" s="4"/>
      <c r="G126" s="4"/>
      <c r="H126" s="4"/>
      <c r="I126" s="4"/>
      <c r="J126" s="4"/>
      <c r="K126" s="4"/>
      <c r="L126" s="4"/>
      <c r="M126" s="4"/>
      <c r="N126" s="4">
        <f aca="true" t="shared" si="23" ref="N126:N140">SUM(B126:M126)</f>
        <v>80000</v>
      </c>
    </row>
    <row r="127" spans="1:14" s="2" customFormat="1" ht="12.75">
      <c r="A127" s="235" t="s">
        <v>742</v>
      </c>
      <c r="B127" s="4"/>
      <c r="C127" s="4"/>
      <c r="D127" s="4"/>
      <c r="E127" s="4"/>
      <c r="F127" s="4"/>
      <c r="G127" s="4"/>
      <c r="H127" s="4"/>
      <c r="I127" s="4"/>
      <c r="J127" s="4"/>
      <c r="K127" s="4">
        <v>80000</v>
      </c>
      <c r="L127" s="4"/>
      <c r="M127" s="4"/>
      <c r="N127" s="4">
        <f t="shared" si="23"/>
        <v>80000</v>
      </c>
    </row>
    <row r="128" spans="1:14" s="2" customFormat="1" ht="12.75">
      <c r="A128" s="235" t="s">
        <v>744</v>
      </c>
      <c r="B128" s="4"/>
      <c r="C128" s="4"/>
      <c r="D128" s="4"/>
      <c r="E128" s="4"/>
      <c r="F128" s="4">
        <f>3500*2</f>
        <v>7000</v>
      </c>
      <c r="G128" s="4"/>
      <c r="H128" s="4"/>
      <c r="I128" s="4"/>
      <c r="J128" s="4"/>
      <c r="K128" s="4"/>
      <c r="L128" s="4">
        <v>3500</v>
      </c>
      <c r="M128" s="4"/>
      <c r="N128" s="4">
        <f t="shared" si="23"/>
        <v>10500</v>
      </c>
    </row>
    <row r="129" spans="1:14" s="2" customFormat="1" ht="12.75">
      <c r="A129" s="235" t="s">
        <v>745</v>
      </c>
      <c r="B129" s="4"/>
      <c r="C129" s="4"/>
      <c r="D129" s="4"/>
      <c r="E129" s="4"/>
      <c r="F129" s="4"/>
      <c r="G129" s="4">
        <f>6*3800</f>
        <v>22800</v>
      </c>
      <c r="H129" s="4"/>
      <c r="I129" s="4"/>
      <c r="J129" s="4"/>
      <c r="K129" s="4"/>
      <c r="L129" s="4"/>
      <c r="M129" s="4">
        <f>3800*2</f>
        <v>7600</v>
      </c>
      <c r="N129" s="4">
        <f t="shared" si="23"/>
        <v>30400</v>
      </c>
    </row>
    <row r="130" spans="1:14" s="2" customFormat="1" ht="12.75">
      <c r="A130" s="235" t="s">
        <v>767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>
        <f t="shared" si="23"/>
        <v>0</v>
      </c>
    </row>
    <row r="131" spans="1:14" s="2" customFormat="1" ht="12.75">
      <c r="A131" s="235" t="s">
        <v>768</v>
      </c>
      <c r="B131" s="4">
        <v>10000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>
        <f t="shared" si="23"/>
        <v>10000</v>
      </c>
    </row>
    <row r="132" spans="1:14" s="2" customFormat="1" ht="12.75">
      <c r="A132" s="235" t="s">
        <v>769</v>
      </c>
      <c r="B132" s="4">
        <v>10000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>
        <f t="shared" si="23"/>
        <v>10000</v>
      </c>
    </row>
    <row r="133" spans="1:14" s="2" customFormat="1" ht="12.75">
      <c r="A133" s="235" t="s">
        <v>973</v>
      </c>
      <c r="B133" s="4"/>
      <c r="C133" s="4">
        <v>23000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s="2" customFormat="1" ht="12.75">
      <c r="A134" s="235" t="s">
        <v>974</v>
      </c>
      <c r="B134" s="4"/>
      <c r="C134" s="4">
        <v>15000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s="2" customFormat="1" ht="12.75">
      <c r="A135" s="235" t="s">
        <v>869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s="88" customFormat="1" ht="12.75">
      <c r="A136" s="374" t="s">
        <v>868</v>
      </c>
      <c r="B136" s="16">
        <f>SUM(B137:B140)</f>
        <v>0</v>
      </c>
      <c r="C136" s="16">
        <f aca="true" t="shared" si="24" ref="C136:M136">SUM(C137:C140)</f>
        <v>0</v>
      </c>
      <c r="D136" s="16">
        <f t="shared" si="24"/>
        <v>0</v>
      </c>
      <c r="E136" s="16">
        <f t="shared" si="24"/>
        <v>0</v>
      </c>
      <c r="F136" s="16">
        <f t="shared" si="24"/>
        <v>0</v>
      </c>
      <c r="G136" s="16">
        <f t="shared" si="24"/>
        <v>0</v>
      </c>
      <c r="H136" s="16">
        <f t="shared" si="24"/>
        <v>0</v>
      </c>
      <c r="I136" s="16">
        <f t="shared" si="24"/>
        <v>0</v>
      </c>
      <c r="J136" s="16">
        <f t="shared" si="24"/>
        <v>0</v>
      </c>
      <c r="K136" s="16">
        <f t="shared" si="24"/>
        <v>0</v>
      </c>
      <c r="L136" s="16">
        <f t="shared" si="24"/>
        <v>0</v>
      </c>
      <c r="M136" s="16">
        <f t="shared" si="24"/>
        <v>0</v>
      </c>
      <c r="N136" s="16">
        <f t="shared" si="23"/>
        <v>0</v>
      </c>
    </row>
    <row r="137" spans="1:14" s="2" customFormat="1" ht="12.75">
      <c r="A137" s="235" t="s">
        <v>770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>
        <f t="shared" si="23"/>
        <v>0</v>
      </c>
    </row>
    <row r="138" spans="1:14" s="2" customFormat="1" ht="12.75">
      <c r="A138" s="235" t="s">
        <v>871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>
        <f t="shared" si="23"/>
        <v>0</v>
      </c>
    </row>
    <row r="139" spans="1:14" s="2" customFormat="1" ht="12.75">
      <c r="A139" s="235" t="s">
        <v>872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>
        <f t="shared" si="23"/>
        <v>0</v>
      </c>
    </row>
    <row r="140" spans="1:14" s="2" customFormat="1" ht="12.75">
      <c r="A140" s="235" t="s">
        <v>867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>
        <f t="shared" si="23"/>
        <v>0</v>
      </c>
    </row>
    <row r="141" spans="1:14" s="2" customFormat="1" ht="12.75">
      <c r="A141" s="23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77"/>
    </row>
    <row r="142" spans="1:16" s="349" customFormat="1" ht="12">
      <c r="A142" s="303" t="s">
        <v>64</v>
      </c>
      <c r="B142" s="303">
        <f aca="true" t="shared" si="25" ref="B142:N142">B43+B68+B96+B98+B103+B109+B116+B120+B121+B123+B125+B136</f>
        <v>11440757.69</v>
      </c>
      <c r="C142" s="303">
        <f t="shared" si="25"/>
        <v>4126766.6899999995</v>
      </c>
      <c r="D142" s="303">
        <f t="shared" si="25"/>
        <v>13140604.69</v>
      </c>
      <c r="E142" s="303">
        <f t="shared" si="25"/>
        <v>10090266.69</v>
      </c>
      <c r="F142" s="303">
        <f t="shared" si="25"/>
        <v>5698666.6899999995</v>
      </c>
      <c r="G142" s="303">
        <f t="shared" si="25"/>
        <v>4214466.6899999995</v>
      </c>
      <c r="H142" s="303">
        <f t="shared" si="25"/>
        <v>1491666.69</v>
      </c>
      <c r="I142" s="303">
        <f t="shared" si="25"/>
        <v>5514466.6899999995</v>
      </c>
      <c r="J142" s="303">
        <f t="shared" si="25"/>
        <v>1091666.69</v>
      </c>
      <c r="K142" s="303">
        <f t="shared" si="25"/>
        <v>1171666.69</v>
      </c>
      <c r="L142" s="303">
        <f t="shared" si="25"/>
        <v>7695166.6899999995</v>
      </c>
      <c r="M142" s="303">
        <f t="shared" si="25"/>
        <v>1099266.69</v>
      </c>
      <c r="N142" s="303">
        <f t="shared" si="25"/>
        <v>66766129.279999994</v>
      </c>
      <c r="O142" s="349">
        <f>SUM(B142:M142)</f>
        <v>66775429.27999998</v>
      </c>
      <c r="P142" s="349">
        <f>O142-N142</f>
        <v>9299.999999985099</v>
      </c>
    </row>
    <row r="143" spans="1:16" s="11" customFormat="1" ht="12.75">
      <c r="A143" s="31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88"/>
      <c r="P143" s="88"/>
    </row>
    <row r="144" spans="1:16" s="11" customFormat="1" ht="12.75" hidden="1">
      <c r="A144" s="31" t="s">
        <v>388</v>
      </c>
      <c r="B144" s="4"/>
      <c r="C144" s="4"/>
      <c r="D144" s="4"/>
      <c r="E144" s="16"/>
      <c r="F144" s="16"/>
      <c r="G144" s="16"/>
      <c r="H144" s="16"/>
      <c r="I144" s="16"/>
      <c r="J144" s="16"/>
      <c r="K144" s="16"/>
      <c r="L144" s="16"/>
      <c r="M144" s="16"/>
      <c r="N144" s="16">
        <f>SUM(B144:M144)</f>
        <v>0</v>
      </c>
      <c r="O144" s="88"/>
      <c r="P144" s="88"/>
    </row>
    <row r="145" spans="1:16" s="11" customFormat="1" ht="12.75" hidden="1">
      <c r="A145" s="31" t="s">
        <v>396</v>
      </c>
      <c r="B145" s="16"/>
      <c r="C145" s="16"/>
      <c r="D145" s="16"/>
      <c r="E145" s="4"/>
      <c r="F145" s="16"/>
      <c r="G145" s="16"/>
      <c r="H145" s="16"/>
      <c r="I145" s="16"/>
      <c r="J145" s="16"/>
      <c r="K145" s="16"/>
      <c r="L145" s="16"/>
      <c r="M145" s="16"/>
      <c r="N145" s="16">
        <f>SUM(B145:M145)</f>
        <v>0</v>
      </c>
      <c r="O145" s="88"/>
      <c r="P145" s="88"/>
    </row>
    <row r="146" spans="1:16" s="11" customFormat="1" ht="12.75" hidden="1">
      <c r="A146" s="31" t="s">
        <v>67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88"/>
      <c r="P146" s="88"/>
    </row>
    <row r="147" spans="1:16" s="126" customFormat="1" ht="12.75" hidden="1">
      <c r="A147" s="323" t="s">
        <v>350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>
        <f aca="true" t="shared" si="26" ref="N147:N153">SUM(B147:M147)</f>
        <v>0</v>
      </c>
      <c r="O147" s="324"/>
      <c r="P147" s="324"/>
    </row>
    <row r="148" spans="1:14" s="125" customFormat="1" ht="12.75" hidden="1">
      <c r="A148" s="325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>
        <f t="shared" si="26"/>
        <v>0</v>
      </c>
    </row>
    <row r="149" spans="1:15" s="350" customFormat="1" ht="14.25" customHeight="1">
      <c r="A149" s="485" t="s">
        <v>391</v>
      </c>
      <c r="B149" s="485">
        <f aca="true" t="shared" si="27" ref="B149:N149">B150+B154+B159+B163+B165+B169+B174+B179+B183</f>
        <v>1310513.26</v>
      </c>
      <c r="C149" s="485">
        <f t="shared" si="27"/>
        <v>10604764.61</v>
      </c>
      <c r="D149" s="485">
        <f t="shared" si="27"/>
        <v>1310513.26</v>
      </c>
      <c r="E149" s="485">
        <f t="shared" si="27"/>
        <v>7560513.26</v>
      </c>
      <c r="F149" s="485">
        <f t="shared" si="27"/>
        <v>1310513.26</v>
      </c>
      <c r="G149" s="485">
        <f t="shared" si="27"/>
        <v>4354764.61</v>
      </c>
      <c r="H149" s="485">
        <f t="shared" si="27"/>
        <v>1310513.26</v>
      </c>
      <c r="I149" s="485">
        <f t="shared" si="27"/>
        <v>1310513.26</v>
      </c>
      <c r="J149" s="485">
        <f t="shared" si="27"/>
        <v>4051367.46</v>
      </c>
      <c r="K149" s="485">
        <f t="shared" si="27"/>
        <v>1310513.26</v>
      </c>
      <c r="L149" s="485">
        <f t="shared" si="27"/>
        <v>1310513.26</v>
      </c>
      <c r="M149" s="485">
        <f t="shared" si="27"/>
        <v>1310513.26</v>
      </c>
      <c r="N149" s="485">
        <f t="shared" si="27"/>
        <v>37055516.019999996</v>
      </c>
      <c r="O149" s="350">
        <f>SUM(B149:M149)</f>
        <v>37055516.02</v>
      </c>
    </row>
    <row r="150" spans="1:14" s="327" customFormat="1" ht="14.25" customHeight="1">
      <c r="A150" s="326" t="s">
        <v>832</v>
      </c>
      <c r="B150" s="497">
        <f aca="true" t="shared" si="28" ref="B150:M150">SUM(B151:B153)</f>
        <v>0</v>
      </c>
      <c r="C150" s="497">
        <f t="shared" si="28"/>
        <v>0</v>
      </c>
      <c r="D150" s="497">
        <f t="shared" si="28"/>
        <v>0</v>
      </c>
      <c r="E150" s="497">
        <f t="shared" si="28"/>
        <v>0</v>
      </c>
      <c r="F150" s="497">
        <f t="shared" si="28"/>
        <v>0</v>
      </c>
      <c r="G150" s="497">
        <f t="shared" si="28"/>
        <v>0</v>
      </c>
      <c r="H150" s="497">
        <f t="shared" si="28"/>
        <v>0</v>
      </c>
      <c r="I150" s="497">
        <f t="shared" si="28"/>
        <v>0</v>
      </c>
      <c r="J150" s="497">
        <f t="shared" si="28"/>
        <v>0</v>
      </c>
      <c r="K150" s="497">
        <f t="shared" si="28"/>
        <v>0</v>
      </c>
      <c r="L150" s="497">
        <f t="shared" si="28"/>
        <v>0</v>
      </c>
      <c r="M150" s="497">
        <f t="shared" si="28"/>
        <v>0</v>
      </c>
      <c r="N150" s="326">
        <f t="shared" si="26"/>
        <v>0</v>
      </c>
    </row>
    <row r="151" spans="1:15" s="344" customFormat="1" ht="14.25" customHeight="1">
      <c r="A151" s="328" t="s">
        <v>782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328">
        <f t="shared" si="26"/>
        <v>0</v>
      </c>
      <c r="O151" s="344">
        <f>SUM(N151:N152)</f>
        <v>0</v>
      </c>
    </row>
    <row r="152" spans="1:14" s="344" customFormat="1" ht="14.25" customHeight="1">
      <c r="A152" s="483" t="s">
        <v>665</v>
      </c>
      <c r="B152" s="496"/>
      <c r="C152" s="496"/>
      <c r="D152" s="496"/>
      <c r="E152" s="496"/>
      <c r="F152" s="496"/>
      <c r="G152" s="496"/>
      <c r="H152" s="496"/>
      <c r="I152" s="496"/>
      <c r="J152" s="496"/>
      <c r="K152" s="496"/>
      <c r="L152" s="496"/>
      <c r="M152" s="496"/>
      <c r="N152" s="328">
        <f t="shared" si="26"/>
        <v>0</v>
      </c>
    </row>
    <row r="153" spans="1:14" s="344" customFormat="1" ht="14.25" customHeight="1" hidden="1">
      <c r="A153" s="483" t="s">
        <v>930</v>
      </c>
      <c r="B153" s="337"/>
      <c r="C153" s="337"/>
      <c r="D153" s="337"/>
      <c r="E153" s="337"/>
      <c r="F153" s="337"/>
      <c r="G153" s="337"/>
      <c r="H153" s="337"/>
      <c r="I153" s="337"/>
      <c r="J153" s="337"/>
      <c r="K153" s="337"/>
      <c r="L153" s="337"/>
      <c r="M153" s="337"/>
      <c r="N153" s="328">
        <f t="shared" si="26"/>
        <v>0</v>
      </c>
    </row>
    <row r="154" spans="1:14" s="327" customFormat="1" ht="14.25" customHeight="1">
      <c r="A154" s="484" t="s">
        <v>834</v>
      </c>
      <c r="B154" s="497">
        <f>SUM(B155:B158)</f>
        <v>1310513.26</v>
      </c>
      <c r="C154" s="497">
        <f aca="true" t="shared" si="29" ref="C154:M154">SUM(C155:C158)</f>
        <v>1310513.26</v>
      </c>
      <c r="D154" s="497">
        <f t="shared" si="29"/>
        <v>1310513.26</v>
      </c>
      <c r="E154" s="497">
        <f t="shared" si="29"/>
        <v>1310513.26</v>
      </c>
      <c r="F154" s="497">
        <f t="shared" si="29"/>
        <v>1310513.26</v>
      </c>
      <c r="G154" s="497">
        <f t="shared" si="29"/>
        <v>1310513.26</v>
      </c>
      <c r="H154" s="497">
        <f t="shared" si="29"/>
        <v>1310513.26</v>
      </c>
      <c r="I154" s="497">
        <f t="shared" si="29"/>
        <v>1310513.26</v>
      </c>
      <c r="J154" s="497">
        <f t="shared" si="29"/>
        <v>1310513.26</v>
      </c>
      <c r="K154" s="497">
        <f t="shared" si="29"/>
        <v>1310513.26</v>
      </c>
      <c r="L154" s="497">
        <f t="shared" si="29"/>
        <v>1310513.26</v>
      </c>
      <c r="M154" s="497">
        <f t="shared" si="29"/>
        <v>1310513.26</v>
      </c>
      <c r="N154" s="326">
        <f aca="true" t="shared" si="30" ref="N154:N183">SUM(B154:M154)</f>
        <v>15726159.12</v>
      </c>
    </row>
    <row r="155" spans="1:14" s="370" customFormat="1" ht="12">
      <c r="A155" s="158" t="s">
        <v>982</v>
      </c>
      <c r="B155" s="498">
        <v>1310513.26</v>
      </c>
      <c r="C155" s="498">
        <v>1310513.26</v>
      </c>
      <c r="D155" s="498">
        <v>1310513.26</v>
      </c>
      <c r="E155" s="498">
        <v>1310513.26</v>
      </c>
      <c r="F155" s="498">
        <v>1310513.26</v>
      </c>
      <c r="G155" s="498">
        <v>1310513.26</v>
      </c>
      <c r="H155" s="498">
        <v>1310513.26</v>
      </c>
      <c r="I155" s="498">
        <v>1310513.26</v>
      </c>
      <c r="J155" s="498">
        <v>1310513.26</v>
      </c>
      <c r="K155" s="498">
        <v>1310513.26</v>
      </c>
      <c r="L155" s="498">
        <v>1310513.26</v>
      </c>
      <c r="M155" s="498">
        <v>1310513.26</v>
      </c>
      <c r="N155" s="329">
        <f t="shared" si="30"/>
        <v>15726159.12</v>
      </c>
    </row>
    <row r="156" spans="1:14" s="332" customFormat="1" ht="22.5">
      <c r="A156" s="371" t="s">
        <v>983</v>
      </c>
      <c r="B156" s="498"/>
      <c r="C156" s="498"/>
      <c r="D156" s="498"/>
      <c r="E156" s="498"/>
      <c r="F156" s="498"/>
      <c r="G156" s="498"/>
      <c r="H156" s="498"/>
      <c r="I156" s="498"/>
      <c r="J156" s="498"/>
      <c r="K156" s="498"/>
      <c r="L156" s="498"/>
      <c r="M156" s="498"/>
      <c r="N156" s="329">
        <f t="shared" si="30"/>
        <v>0</v>
      </c>
    </row>
    <row r="157" spans="1:14" s="332" customFormat="1" ht="11.25">
      <c r="A157" s="371" t="s">
        <v>981</v>
      </c>
      <c r="B157" s="498"/>
      <c r="C157" s="498"/>
      <c r="D157" s="498"/>
      <c r="E157" s="498"/>
      <c r="F157" s="498"/>
      <c r="G157" s="498"/>
      <c r="H157" s="498"/>
      <c r="I157" s="498"/>
      <c r="J157" s="498"/>
      <c r="K157" s="498"/>
      <c r="L157" s="498"/>
      <c r="M157" s="498"/>
      <c r="N157" s="329">
        <f t="shared" si="30"/>
        <v>0</v>
      </c>
    </row>
    <row r="158" spans="1:14" s="334" customFormat="1" ht="11.25">
      <c r="A158" s="371" t="s">
        <v>984</v>
      </c>
      <c r="B158" s="500"/>
      <c r="C158" s="500"/>
      <c r="D158" s="500"/>
      <c r="E158" s="500"/>
      <c r="F158" s="500"/>
      <c r="G158" s="500"/>
      <c r="H158" s="500"/>
      <c r="I158" s="500"/>
      <c r="J158" s="500"/>
      <c r="K158" s="500"/>
      <c r="L158" s="500"/>
      <c r="M158" s="500"/>
      <c r="N158" s="329">
        <f t="shared" si="30"/>
        <v>0</v>
      </c>
    </row>
    <row r="159" spans="1:14" s="331" customFormat="1" ht="12.75">
      <c r="A159" s="330" t="s">
        <v>835</v>
      </c>
      <c r="B159" s="499">
        <f aca="true" t="shared" si="31" ref="B159:M159">SUM(B160:B162)</f>
        <v>0</v>
      </c>
      <c r="C159" s="499">
        <f t="shared" si="31"/>
        <v>0</v>
      </c>
      <c r="D159" s="499">
        <f t="shared" si="31"/>
        <v>0</v>
      </c>
      <c r="E159" s="499">
        <f t="shared" si="31"/>
        <v>0</v>
      </c>
      <c r="F159" s="499">
        <f t="shared" si="31"/>
        <v>0</v>
      </c>
      <c r="G159" s="499">
        <f t="shared" si="31"/>
        <v>0</v>
      </c>
      <c r="H159" s="499">
        <f t="shared" si="31"/>
        <v>0</v>
      </c>
      <c r="I159" s="499">
        <f t="shared" si="31"/>
        <v>0</v>
      </c>
      <c r="J159" s="499">
        <f t="shared" si="31"/>
        <v>0</v>
      </c>
      <c r="K159" s="499">
        <f t="shared" si="31"/>
        <v>0</v>
      </c>
      <c r="L159" s="499">
        <f t="shared" si="31"/>
        <v>0</v>
      </c>
      <c r="M159" s="499">
        <f t="shared" si="31"/>
        <v>0</v>
      </c>
      <c r="N159" s="348">
        <f t="shared" si="30"/>
        <v>0</v>
      </c>
    </row>
    <row r="160" spans="1:14" s="332" customFormat="1" ht="11.25">
      <c r="A160" s="371" t="s">
        <v>836</v>
      </c>
      <c r="B160" s="498"/>
      <c r="C160" s="498"/>
      <c r="D160" s="498"/>
      <c r="E160" s="498"/>
      <c r="F160" s="498"/>
      <c r="G160" s="498">
        <v>0</v>
      </c>
      <c r="H160" s="498"/>
      <c r="I160" s="498"/>
      <c r="J160" s="498"/>
      <c r="K160" s="498"/>
      <c r="L160" s="498"/>
      <c r="M160" s="498"/>
      <c r="N160" s="329">
        <f t="shared" si="30"/>
        <v>0</v>
      </c>
    </row>
    <row r="161" spans="1:14" s="332" customFormat="1" ht="11.25">
      <c r="A161" s="371" t="s">
        <v>837</v>
      </c>
      <c r="B161" s="498"/>
      <c r="C161" s="498"/>
      <c r="D161" s="498"/>
      <c r="E161" s="498"/>
      <c r="F161" s="498"/>
      <c r="G161" s="498"/>
      <c r="H161" s="498"/>
      <c r="I161" s="498"/>
      <c r="J161" s="498"/>
      <c r="K161" s="498">
        <v>0</v>
      </c>
      <c r="L161" s="498"/>
      <c r="M161" s="498"/>
      <c r="N161" s="329">
        <f t="shared" si="30"/>
        <v>0</v>
      </c>
    </row>
    <row r="162" spans="1:17" s="333" customFormat="1" ht="11.25" hidden="1">
      <c r="A162" s="335" t="s">
        <v>931</v>
      </c>
      <c r="B162" s="328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9">
        <f t="shared" si="30"/>
        <v>0</v>
      </c>
      <c r="P162" s="334"/>
      <c r="Q162" s="334"/>
    </row>
    <row r="163" spans="1:17" s="102" customFormat="1" ht="13.5" customHeight="1">
      <c r="A163" s="351" t="s">
        <v>783</v>
      </c>
      <c r="B163" s="501">
        <f aca="true" t="shared" si="32" ref="B163:M163">SUM(B164)</f>
        <v>0</v>
      </c>
      <c r="C163" s="501">
        <f t="shared" si="32"/>
        <v>6250000</v>
      </c>
      <c r="D163" s="501">
        <f t="shared" si="32"/>
        <v>0</v>
      </c>
      <c r="E163" s="501">
        <f t="shared" si="32"/>
        <v>6250000</v>
      </c>
      <c r="F163" s="501">
        <f t="shared" si="32"/>
        <v>0</v>
      </c>
      <c r="G163" s="501">
        <f t="shared" si="32"/>
        <v>0</v>
      </c>
      <c r="H163" s="501">
        <f t="shared" si="32"/>
        <v>0</v>
      </c>
      <c r="I163" s="501">
        <f t="shared" si="32"/>
        <v>0</v>
      </c>
      <c r="J163" s="501">
        <f t="shared" si="32"/>
        <v>0</v>
      </c>
      <c r="K163" s="501">
        <f t="shared" si="32"/>
        <v>0</v>
      </c>
      <c r="L163" s="501">
        <f t="shared" si="32"/>
        <v>0</v>
      </c>
      <c r="M163" s="501">
        <f t="shared" si="32"/>
        <v>0</v>
      </c>
      <c r="N163" s="348">
        <f t="shared" si="30"/>
        <v>12500000</v>
      </c>
      <c r="P163" s="331"/>
      <c r="Q163" s="331"/>
    </row>
    <row r="164" spans="1:17" s="333" customFormat="1" ht="11.25">
      <c r="A164" s="335" t="s">
        <v>838</v>
      </c>
      <c r="B164" s="500"/>
      <c r="C164" s="500">
        <v>6250000</v>
      </c>
      <c r="D164" s="500"/>
      <c r="E164" s="500">
        <v>6250000</v>
      </c>
      <c r="F164" s="500"/>
      <c r="G164" s="500"/>
      <c r="H164" s="500"/>
      <c r="I164" s="500"/>
      <c r="J164" s="500"/>
      <c r="K164" s="500"/>
      <c r="L164" s="500"/>
      <c r="M164" s="500"/>
      <c r="N164" s="329">
        <f t="shared" si="30"/>
        <v>12500000</v>
      </c>
      <c r="P164" s="334"/>
      <c r="Q164" s="334"/>
    </row>
    <row r="165" spans="1:17" s="102" customFormat="1" ht="12">
      <c r="A165" s="351" t="s">
        <v>839</v>
      </c>
      <c r="B165" s="501">
        <f aca="true" t="shared" si="33" ref="B165:M165">SUM(B166:B168)</f>
        <v>0</v>
      </c>
      <c r="C165" s="501">
        <f t="shared" si="33"/>
        <v>3044251.35</v>
      </c>
      <c r="D165" s="501">
        <f t="shared" si="33"/>
        <v>0</v>
      </c>
      <c r="E165" s="501">
        <f t="shared" si="33"/>
        <v>0</v>
      </c>
      <c r="F165" s="501">
        <f t="shared" si="33"/>
        <v>0</v>
      </c>
      <c r="G165" s="501">
        <f t="shared" si="33"/>
        <v>3044251.35</v>
      </c>
      <c r="H165" s="501">
        <f t="shared" si="33"/>
        <v>0</v>
      </c>
      <c r="I165" s="501">
        <f t="shared" si="33"/>
        <v>0</v>
      </c>
      <c r="J165" s="501">
        <f t="shared" si="33"/>
        <v>2740854.2</v>
      </c>
      <c r="K165" s="501">
        <f t="shared" si="33"/>
        <v>0</v>
      </c>
      <c r="L165" s="501">
        <f t="shared" si="33"/>
        <v>0</v>
      </c>
      <c r="M165" s="501">
        <f t="shared" si="33"/>
        <v>0</v>
      </c>
      <c r="N165" s="348">
        <f t="shared" si="30"/>
        <v>8829356.9</v>
      </c>
      <c r="P165" s="331"/>
      <c r="Q165" s="331"/>
    </row>
    <row r="166" spans="1:17" s="333" customFormat="1" ht="12.75" customHeight="1">
      <c r="A166" s="335" t="s">
        <v>840</v>
      </c>
      <c r="B166" s="500"/>
      <c r="C166" s="500">
        <v>3044251.35</v>
      </c>
      <c r="D166" s="500"/>
      <c r="E166" s="500"/>
      <c r="F166" s="500"/>
      <c r="G166" s="500"/>
      <c r="H166" s="500"/>
      <c r="I166" s="500"/>
      <c r="J166" s="500"/>
      <c r="K166" s="500"/>
      <c r="L166" s="500"/>
      <c r="M166" s="500"/>
      <c r="N166" s="329">
        <f t="shared" si="30"/>
        <v>3044251.35</v>
      </c>
      <c r="P166" s="334"/>
      <c r="Q166" s="334"/>
    </row>
    <row r="167" spans="1:17" s="333" customFormat="1" ht="13.5" customHeight="1">
      <c r="A167" s="335" t="s">
        <v>841</v>
      </c>
      <c r="B167" s="500"/>
      <c r="C167" s="500"/>
      <c r="D167" s="500"/>
      <c r="E167" s="500"/>
      <c r="F167" s="500"/>
      <c r="G167" s="500">
        <v>3044251.35</v>
      </c>
      <c r="H167" s="500"/>
      <c r="I167" s="500"/>
      <c r="J167" s="500"/>
      <c r="K167" s="500"/>
      <c r="L167" s="500"/>
      <c r="M167" s="500"/>
      <c r="N167" s="329">
        <f t="shared" si="30"/>
        <v>3044251.35</v>
      </c>
      <c r="P167" s="334"/>
      <c r="Q167" s="334"/>
    </row>
    <row r="168" spans="1:17" s="333" customFormat="1" ht="11.25">
      <c r="A168" s="335" t="s">
        <v>842</v>
      </c>
      <c r="B168" s="500"/>
      <c r="C168" s="500"/>
      <c r="D168" s="500"/>
      <c r="E168" s="500"/>
      <c r="F168" s="500"/>
      <c r="G168" s="500"/>
      <c r="H168" s="500"/>
      <c r="I168" s="500"/>
      <c r="J168" s="500">
        <v>2740854.2</v>
      </c>
      <c r="K168" s="500"/>
      <c r="L168" s="500"/>
      <c r="M168" s="500"/>
      <c r="N168" s="329">
        <f t="shared" si="30"/>
        <v>2740854.2</v>
      </c>
      <c r="P168" s="334"/>
      <c r="Q168" s="334"/>
    </row>
    <row r="169" spans="1:17" s="102" customFormat="1" ht="12" hidden="1">
      <c r="A169" s="351" t="s">
        <v>843</v>
      </c>
      <c r="B169" s="326">
        <f>SUM(B170:B173)</f>
        <v>0</v>
      </c>
      <c r="C169" s="326">
        <f aca="true" t="shared" si="34" ref="C169:M169">SUM(C170:C173)</f>
        <v>0</v>
      </c>
      <c r="D169" s="326">
        <f t="shared" si="34"/>
        <v>0</v>
      </c>
      <c r="E169" s="326">
        <f t="shared" si="34"/>
        <v>0</v>
      </c>
      <c r="F169" s="326">
        <f t="shared" si="34"/>
        <v>0</v>
      </c>
      <c r="G169" s="326">
        <f t="shared" si="34"/>
        <v>0</v>
      </c>
      <c r="H169" s="326">
        <f t="shared" si="34"/>
        <v>0</v>
      </c>
      <c r="I169" s="326">
        <f t="shared" si="34"/>
        <v>0</v>
      </c>
      <c r="J169" s="326">
        <f t="shared" si="34"/>
        <v>0</v>
      </c>
      <c r="K169" s="326">
        <f t="shared" si="34"/>
        <v>0</v>
      </c>
      <c r="L169" s="326">
        <f t="shared" si="34"/>
        <v>0</v>
      </c>
      <c r="M169" s="326">
        <f t="shared" si="34"/>
        <v>0</v>
      </c>
      <c r="N169" s="348">
        <f t="shared" si="30"/>
        <v>0</v>
      </c>
      <c r="P169" s="331"/>
      <c r="Q169" s="331"/>
    </row>
    <row r="170" spans="1:17" s="333" customFormat="1" ht="11.25" hidden="1">
      <c r="A170" s="335" t="s">
        <v>844</v>
      </c>
      <c r="B170" s="328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9">
        <f t="shared" si="30"/>
        <v>0</v>
      </c>
      <c r="P170" s="334"/>
      <c r="Q170" s="334"/>
    </row>
    <row r="171" spans="1:17" s="102" customFormat="1" ht="12" hidden="1">
      <c r="A171" s="335" t="s">
        <v>782</v>
      </c>
      <c r="B171" s="328"/>
      <c r="C171" s="328"/>
      <c r="D171" s="328"/>
      <c r="E171" s="477"/>
      <c r="F171" s="477"/>
      <c r="G171" s="328"/>
      <c r="H171" s="477"/>
      <c r="I171" s="328"/>
      <c r="J171" s="328"/>
      <c r="K171" s="328"/>
      <c r="L171" s="369"/>
      <c r="M171" s="369"/>
      <c r="N171" s="329">
        <f t="shared" si="30"/>
        <v>0</v>
      </c>
      <c r="P171" s="331"/>
      <c r="Q171" s="331"/>
    </row>
    <row r="172" spans="1:17" s="102" customFormat="1" ht="12" hidden="1">
      <c r="A172" s="335" t="s">
        <v>846</v>
      </c>
      <c r="B172" s="328"/>
      <c r="C172" s="328"/>
      <c r="D172" s="328"/>
      <c r="E172" s="477"/>
      <c r="F172" s="328"/>
      <c r="G172" s="328"/>
      <c r="H172" s="477"/>
      <c r="I172" s="328"/>
      <c r="J172" s="328"/>
      <c r="K172" s="328"/>
      <c r="L172" s="369"/>
      <c r="M172" s="369"/>
      <c r="N172" s="329">
        <f t="shared" si="30"/>
        <v>0</v>
      </c>
      <c r="P172" s="331"/>
      <c r="Q172" s="331"/>
    </row>
    <row r="173" spans="1:17" s="102" customFormat="1" ht="12" hidden="1">
      <c r="A173" s="335" t="s">
        <v>845</v>
      </c>
      <c r="B173" s="328"/>
      <c r="C173" s="328"/>
      <c r="D173" s="328"/>
      <c r="E173" s="328"/>
      <c r="F173" s="328"/>
      <c r="G173" s="477"/>
      <c r="H173" s="328"/>
      <c r="I173" s="328"/>
      <c r="J173" s="328"/>
      <c r="K173" s="328"/>
      <c r="L173" s="369"/>
      <c r="M173" s="369"/>
      <c r="N173" s="329">
        <f t="shared" si="30"/>
        <v>0</v>
      </c>
      <c r="P173" s="331"/>
      <c r="Q173" s="331"/>
    </row>
    <row r="174" spans="1:17" s="102" customFormat="1" ht="12" hidden="1">
      <c r="A174" s="351" t="s">
        <v>847</v>
      </c>
      <c r="B174" s="326">
        <f>SUM(B175:B178)</f>
        <v>0</v>
      </c>
      <c r="C174" s="326">
        <f aca="true" t="shared" si="35" ref="C174:M174">SUM(C175:C178)</f>
        <v>0</v>
      </c>
      <c r="D174" s="326">
        <f t="shared" si="35"/>
        <v>0</v>
      </c>
      <c r="E174" s="326">
        <f t="shared" si="35"/>
        <v>0</v>
      </c>
      <c r="F174" s="326">
        <f t="shared" si="35"/>
        <v>0</v>
      </c>
      <c r="G174" s="326">
        <f t="shared" si="35"/>
        <v>0</v>
      </c>
      <c r="H174" s="326">
        <f t="shared" si="35"/>
        <v>0</v>
      </c>
      <c r="I174" s="326">
        <f t="shared" si="35"/>
        <v>0</v>
      </c>
      <c r="J174" s="326">
        <f t="shared" si="35"/>
        <v>0</v>
      </c>
      <c r="K174" s="326">
        <f t="shared" si="35"/>
        <v>0</v>
      </c>
      <c r="L174" s="326">
        <f t="shared" si="35"/>
        <v>0</v>
      </c>
      <c r="M174" s="326">
        <f t="shared" si="35"/>
        <v>0</v>
      </c>
      <c r="N174" s="348">
        <f>SUM(B174:M174)</f>
        <v>0</v>
      </c>
      <c r="P174" s="331"/>
      <c r="Q174" s="331"/>
    </row>
    <row r="175" spans="1:17" s="333" customFormat="1" ht="11.25" hidden="1">
      <c r="A175" s="335" t="s">
        <v>848</v>
      </c>
      <c r="B175" s="328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9">
        <f t="shared" si="30"/>
        <v>0</v>
      </c>
      <c r="P175" s="334"/>
      <c r="Q175" s="334"/>
    </row>
    <row r="176" spans="1:17" s="333" customFormat="1" ht="11.25" hidden="1">
      <c r="A176" s="335" t="s">
        <v>849</v>
      </c>
      <c r="B176" s="328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9">
        <f t="shared" si="30"/>
        <v>0</v>
      </c>
      <c r="P176" s="334"/>
      <c r="Q176" s="334"/>
    </row>
    <row r="177" spans="1:17" s="333" customFormat="1" ht="11.25" hidden="1">
      <c r="A177" s="335" t="s">
        <v>935</v>
      </c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9">
        <f t="shared" si="30"/>
        <v>0</v>
      </c>
      <c r="P177" s="334"/>
      <c r="Q177" s="334"/>
    </row>
    <row r="178" spans="1:17" s="333" customFormat="1" ht="11.25" hidden="1">
      <c r="A178" s="335" t="s">
        <v>936</v>
      </c>
      <c r="B178" s="328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9">
        <f t="shared" si="30"/>
        <v>0</v>
      </c>
      <c r="P178" s="334"/>
      <c r="Q178" s="334"/>
    </row>
    <row r="179" spans="1:17" s="102" customFormat="1" ht="12" hidden="1">
      <c r="A179" s="351" t="s">
        <v>333</v>
      </c>
      <c r="B179" s="326">
        <f>SUM(B180:B182)</f>
        <v>0</v>
      </c>
      <c r="C179" s="326">
        <f aca="true" t="shared" si="36" ref="C179:M179">SUM(C180:C182)</f>
        <v>0</v>
      </c>
      <c r="D179" s="326">
        <f t="shared" si="36"/>
        <v>0</v>
      </c>
      <c r="E179" s="326">
        <f t="shared" si="36"/>
        <v>0</v>
      </c>
      <c r="F179" s="326">
        <f t="shared" si="36"/>
        <v>0</v>
      </c>
      <c r="G179" s="326">
        <f t="shared" si="36"/>
        <v>0</v>
      </c>
      <c r="H179" s="326">
        <f t="shared" si="36"/>
        <v>0</v>
      </c>
      <c r="I179" s="326">
        <f t="shared" si="36"/>
        <v>0</v>
      </c>
      <c r="J179" s="326">
        <f t="shared" si="36"/>
        <v>0</v>
      </c>
      <c r="K179" s="326">
        <f t="shared" si="36"/>
        <v>0</v>
      </c>
      <c r="L179" s="326">
        <f t="shared" si="36"/>
        <v>0</v>
      </c>
      <c r="M179" s="326">
        <f t="shared" si="36"/>
        <v>0</v>
      </c>
      <c r="N179" s="348">
        <f t="shared" si="30"/>
        <v>0</v>
      </c>
      <c r="P179" s="331"/>
      <c r="Q179" s="331"/>
    </row>
    <row r="180" spans="1:17" s="333" customFormat="1" ht="11.25" hidden="1">
      <c r="A180" s="335" t="s">
        <v>850</v>
      </c>
      <c r="B180" s="328"/>
      <c r="C180" s="328"/>
      <c r="D180" s="328"/>
      <c r="E180" s="328"/>
      <c r="F180" s="477"/>
      <c r="G180" s="328"/>
      <c r="H180" s="328"/>
      <c r="I180" s="328"/>
      <c r="J180" s="328"/>
      <c r="K180" s="328"/>
      <c r="L180" s="328"/>
      <c r="M180" s="328"/>
      <c r="N180" s="329">
        <f t="shared" si="30"/>
        <v>0</v>
      </c>
      <c r="P180" s="334"/>
      <c r="Q180" s="334"/>
    </row>
    <row r="181" spans="1:17" s="333" customFormat="1" ht="11.25" hidden="1">
      <c r="A181" s="335" t="s">
        <v>851</v>
      </c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477"/>
      <c r="M181" s="328"/>
      <c r="N181" s="329">
        <f t="shared" si="30"/>
        <v>0</v>
      </c>
      <c r="P181" s="334"/>
      <c r="Q181" s="334"/>
    </row>
    <row r="182" spans="1:17" s="333" customFormat="1" ht="11.25" hidden="1">
      <c r="A182" s="335" t="s">
        <v>852</v>
      </c>
      <c r="B182" s="328"/>
      <c r="C182" s="328"/>
      <c r="D182" s="328"/>
      <c r="E182" s="328"/>
      <c r="F182" s="328"/>
      <c r="G182" s="328"/>
      <c r="H182" s="477"/>
      <c r="I182" s="328"/>
      <c r="J182" s="328"/>
      <c r="K182" s="328"/>
      <c r="L182" s="328"/>
      <c r="M182" s="328"/>
      <c r="N182" s="329">
        <f t="shared" si="30"/>
        <v>0</v>
      </c>
      <c r="P182" s="334"/>
      <c r="Q182" s="334"/>
    </row>
    <row r="183" spans="1:17" s="102" customFormat="1" ht="12" customHeight="1" hidden="1">
      <c r="A183" s="351" t="s">
        <v>932</v>
      </c>
      <c r="B183" s="326"/>
      <c r="C183" s="326"/>
      <c r="D183" s="326"/>
      <c r="E183" s="326"/>
      <c r="F183" s="326"/>
      <c r="G183" s="326"/>
      <c r="H183" s="326"/>
      <c r="I183" s="326"/>
      <c r="J183" s="326"/>
      <c r="K183" s="326"/>
      <c r="L183" s="326"/>
      <c r="M183" s="326"/>
      <c r="N183" s="348">
        <f t="shared" si="30"/>
        <v>0</v>
      </c>
      <c r="P183" s="331"/>
      <c r="Q183" s="331"/>
    </row>
    <row r="184" spans="1:17" s="333" customFormat="1" ht="11.25">
      <c r="A184" s="335"/>
      <c r="B184" s="328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9"/>
      <c r="P184" s="334"/>
      <c r="Q184" s="334"/>
    </row>
    <row r="185" spans="1:17" s="333" customFormat="1" ht="11.25">
      <c r="A185" s="336" t="s">
        <v>68</v>
      </c>
      <c r="B185" s="328">
        <f aca="true" t="shared" si="37" ref="B185:M185">B22-B35-B40-B142-B147-B149</f>
        <v>340956227.422</v>
      </c>
      <c r="C185" s="328">
        <f t="shared" si="37"/>
        <v>367533621.016555</v>
      </c>
      <c r="D185" s="328">
        <f t="shared" si="37"/>
        <v>495813070.16465145</v>
      </c>
      <c r="E185" s="328">
        <f t="shared" si="37"/>
        <v>556663718.5856044</v>
      </c>
      <c r="F185" s="328">
        <f t="shared" si="37"/>
        <v>527683104.44948</v>
      </c>
      <c r="G185" s="328">
        <f t="shared" si="37"/>
        <v>456288811.7282677</v>
      </c>
      <c r="H185" s="328">
        <f t="shared" si="37"/>
        <v>442807288.66071206</v>
      </c>
      <c r="I185" s="328">
        <f t="shared" si="37"/>
        <v>432693633.03368443</v>
      </c>
      <c r="J185" s="328">
        <f t="shared" si="37"/>
        <v>418784675.30992043</v>
      </c>
      <c r="K185" s="328">
        <f t="shared" si="37"/>
        <v>406560695.5627794</v>
      </c>
      <c r="L185" s="328">
        <f t="shared" si="37"/>
        <v>384624118.5119612</v>
      </c>
      <c r="M185" s="328">
        <f t="shared" si="37"/>
        <v>344082775.36042804</v>
      </c>
      <c r="N185" s="328"/>
      <c r="O185" s="332">
        <f>O149+O142+N35</f>
        <v>2504100553.4255204</v>
      </c>
      <c r="P185" s="334"/>
      <c r="Q185" s="334"/>
    </row>
    <row r="186" spans="1:20" ht="12.75">
      <c r="A186" s="39" t="s">
        <v>363</v>
      </c>
      <c r="B186" s="34"/>
      <c r="C186" s="24"/>
      <c r="D186" s="24"/>
      <c r="E186" s="24"/>
      <c r="F186" s="40"/>
      <c r="G186" s="24"/>
      <c r="H186" s="24"/>
      <c r="I186" s="24"/>
      <c r="J186" s="24"/>
      <c r="K186" s="24"/>
      <c r="L186" s="24"/>
      <c r="M186" s="24"/>
      <c r="N186" s="110"/>
      <c r="O186" s="9"/>
      <c r="P186" s="9"/>
      <c r="Q186" s="9"/>
      <c r="R186" s="9"/>
      <c r="S186" s="9"/>
      <c r="T186" s="9"/>
    </row>
    <row r="187" spans="1:14" ht="12.75">
      <c r="A187" s="39"/>
      <c r="B187" s="34">
        <f aca="true" t="shared" si="38" ref="B187:M187">B7+B185</f>
        <v>701093427.4219999</v>
      </c>
      <c r="C187" s="34">
        <f t="shared" si="38"/>
        <v>708489848.438555</v>
      </c>
      <c r="D187" s="34">
        <f t="shared" si="38"/>
        <v>863346691.1812065</v>
      </c>
      <c r="E187" s="34">
        <f t="shared" si="38"/>
        <v>1052476788.7502558</v>
      </c>
      <c r="F187" s="34">
        <f t="shared" si="38"/>
        <v>1084346823.0350845</v>
      </c>
      <c r="G187" s="34">
        <f t="shared" si="38"/>
        <v>983971916.1777477</v>
      </c>
      <c r="H187" s="34">
        <f t="shared" si="38"/>
        <v>899096100.3889798</v>
      </c>
      <c r="I187" s="34">
        <f t="shared" si="38"/>
        <v>875500921.6943965</v>
      </c>
      <c r="J187" s="34">
        <f t="shared" si="38"/>
        <v>851478308.3436048</v>
      </c>
      <c r="K187" s="34">
        <f t="shared" si="38"/>
        <v>825345370.8726999</v>
      </c>
      <c r="L187" s="34">
        <f t="shared" si="38"/>
        <v>791184814.0747406</v>
      </c>
      <c r="M187" s="34">
        <f t="shared" si="38"/>
        <v>728706893.8723893</v>
      </c>
      <c r="N187" s="111" t="e">
        <f>#REF!-#REF!</f>
        <v>#REF!</v>
      </c>
    </row>
    <row r="188" spans="1:14" ht="12.75">
      <c r="A188" s="39"/>
      <c r="B188" s="34">
        <f>B187/2</f>
        <v>350546713.71099997</v>
      </c>
      <c r="C188" s="34">
        <f>C187/2</f>
        <v>354244924.2192775</v>
      </c>
      <c r="D188" s="34">
        <f aca="true" t="shared" si="39" ref="D188:M188">D187/2</f>
        <v>431673345.59060323</v>
      </c>
      <c r="E188" s="34">
        <f t="shared" si="39"/>
        <v>526238394.3751279</v>
      </c>
      <c r="F188" s="34">
        <f t="shared" si="39"/>
        <v>542173411.5175422</v>
      </c>
      <c r="G188" s="34">
        <f t="shared" si="39"/>
        <v>491985958.08887386</v>
      </c>
      <c r="H188" s="34">
        <f t="shared" si="39"/>
        <v>449548050.1944899</v>
      </c>
      <c r="I188" s="34">
        <f t="shared" si="39"/>
        <v>437750460.84719825</v>
      </c>
      <c r="J188" s="34">
        <f t="shared" si="39"/>
        <v>425739154.1718024</v>
      </c>
      <c r="K188" s="34">
        <f t="shared" si="39"/>
        <v>412672685.4363499</v>
      </c>
      <c r="L188" s="34">
        <f t="shared" si="39"/>
        <v>395592407.0373703</v>
      </c>
      <c r="M188" s="34">
        <f t="shared" si="39"/>
        <v>364353446.93619466</v>
      </c>
      <c r="N188" s="110"/>
    </row>
    <row r="189" spans="1:15" ht="12.75">
      <c r="A189" s="39"/>
      <c r="B189" s="34">
        <f>B188-10000000</f>
        <v>340546713.71099997</v>
      </c>
      <c r="C189" s="34">
        <f>C188-10000000</f>
        <v>344244924.2192775</v>
      </c>
      <c r="D189" s="34">
        <f aca="true" t="shared" si="40" ref="D189:M189">D188-10000000</f>
        <v>421673345.59060323</v>
      </c>
      <c r="E189" s="34">
        <f t="shared" si="40"/>
        <v>516238394.3751279</v>
      </c>
      <c r="F189" s="34">
        <f t="shared" si="40"/>
        <v>532173411.51754224</v>
      </c>
      <c r="G189" s="34">
        <f t="shared" si="40"/>
        <v>481985958.08887386</v>
      </c>
      <c r="H189" s="34">
        <f t="shared" si="40"/>
        <v>439548050.1944899</v>
      </c>
      <c r="I189" s="34">
        <f t="shared" si="40"/>
        <v>427750460.84719825</v>
      </c>
      <c r="J189" s="34">
        <f t="shared" si="40"/>
        <v>415739154.1718024</v>
      </c>
      <c r="K189" s="34">
        <f t="shared" si="40"/>
        <v>402672685.4363499</v>
      </c>
      <c r="L189" s="34">
        <f t="shared" si="40"/>
        <v>385592407.0373703</v>
      </c>
      <c r="M189" s="34">
        <f t="shared" si="40"/>
        <v>354353446.93619466</v>
      </c>
      <c r="N189" s="110"/>
      <c r="O189" s="90" t="e">
        <f>#REF!/Resultado!N10</f>
        <v>#REF!</v>
      </c>
    </row>
    <row r="190" spans="1:15" ht="12.75">
      <c r="A190" s="39"/>
      <c r="B190" s="34">
        <f>B189*6%</f>
        <v>20432802.822659995</v>
      </c>
      <c r="C190" s="34">
        <f aca="true" t="shared" si="41" ref="C190:M190">C189*6%</f>
        <v>20654695.45315665</v>
      </c>
      <c r="D190" s="34">
        <f t="shared" si="41"/>
        <v>25300400.735436194</v>
      </c>
      <c r="E190" s="34">
        <f t="shared" si="41"/>
        <v>30974303.662507672</v>
      </c>
      <c r="F190" s="34">
        <f t="shared" si="41"/>
        <v>31930404.691052534</v>
      </c>
      <c r="G190" s="34">
        <f t="shared" si="41"/>
        <v>28919157.48533243</v>
      </c>
      <c r="H190" s="34">
        <f t="shared" si="41"/>
        <v>26372883.011669394</v>
      </c>
      <c r="I190" s="34">
        <f t="shared" si="41"/>
        <v>25665027.650831893</v>
      </c>
      <c r="J190" s="34">
        <f t="shared" si="41"/>
        <v>24944349.250308145</v>
      </c>
      <c r="K190" s="34">
        <f t="shared" si="41"/>
        <v>24160361.126180995</v>
      </c>
      <c r="L190" s="34">
        <f t="shared" si="41"/>
        <v>23135544.422242217</v>
      </c>
      <c r="M190" s="34">
        <f t="shared" si="41"/>
        <v>21261206.81617168</v>
      </c>
      <c r="N190" s="110"/>
      <c r="O190" s="2" t="e">
        <f>N21-N31-N40-N142-#REF!-N149</f>
        <v>#REF!</v>
      </c>
    </row>
    <row r="191" spans="1:14" ht="12.75">
      <c r="A191" s="39"/>
      <c r="B191" s="34">
        <f>B190/12</f>
        <v>1702733.5685549995</v>
      </c>
      <c r="C191" s="34">
        <f>C190/12</f>
        <v>1721224.6210963875</v>
      </c>
      <c r="D191" s="34">
        <f aca="true" t="shared" si="42" ref="D191:M191">D190/12</f>
        <v>2108366.7279530163</v>
      </c>
      <c r="E191" s="34">
        <f t="shared" si="42"/>
        <v>2581191.971875639</v>
      </c>
      <c r="F191" s="34">
        <f t="shared" si="42"/>
        <v>2660867.057587711</v>
      </c>
      <c r="G191" s="34">
        <f t="shared" si="42"/>
        <v>2409929.790444369</v>
      </c>
      <c r="H191" s="34">
        <f t="shared" si="42"/>
        <v>2197740.2509724493</v>
      </c>
      <c r="I191" s="34">
        <f t="shared" si="42"/>
        <v>2138752.304235991</v>
      </c>
      <c r="J191" s="34">
        <f t="shared" si="42"/>
        <v>2078695.7708590121</v>
      </c>
      <c r="K191" s="34">
        <f t="shared" si="42"/>
        <v>2013363.4271817496</v>
      </c>
      <c r="L191" s="34">
        <f t="shared" si="42"/>
        <v>1927962.0351868514</v>
      </c>
      <c r="M191" s="34">
        <f t="shared" si="42"/>
        <v>1771767.2346809732</v>
      </c>
      <c r="N191" s="110"/>
    </row>
    <row r="192" spans="1:14" ht="12.75">
      <c r="A192" s="39"/>
      <c r="B192" s="34"/>
      <c r="C192" s="24"/>
      <c r="D192" s="24"/>
      <c r="E192" s="24"/>
      <c r="F192" s="24"/>
      <c r="G192" s="24"/>
      <c r="H192" s="24"/>
      <c r="I192" s="24"/>
      <c r="J192" s="1"/>
      <c r="K192" s="1"/>
      <c r="L192" s="1"/>
      <c r="M192" s="1"/>
      <c r="N192" s="110"/>
    </row>
    <row r="193" spans="1:20" ht="12.75">
      <c r="A193" s="39"/>
      <c r="B193" s="34"/>
      <c r="C193" s="24"/>
      <c r="D193" s="24"/>
      <c r="E193" s="24"/>
      <c r="F193" s="40"/>
      <c r="G193" s="24"/>
      <c r="H193" s="24"/>
      <c r="I193" s="24"/>
      <c r="J193" s="24"/>
      <c r="K193" s="24"/>
      <c r="L193" s="24"/>
      <c r="M193" s="24"/>
      <c r="N193" s="110"/>
      <c r="O193" s="9"/>
      <c r="P193" s="9"/>
      <c r="Q193" s="9"/>
      <c r="R193" s="9"/>
      <c r="S193" s="9"/>
      <c r="T193" s="9"/>
    </row>
    <row r="194" spans="1:20" ht="12.75">
      <c r="A194" s="39"/>
      <c r="B194" s="34"/>
      <c r="C194" s="24"/>
      <c r="D194" s="24"/>
      <c r="E194" s="24"/>
      <c r="F194" s="40"/>
      <c r="G194" s="24"/>
      <c r="H194" s="24"/>
      <c r="I194" s="24"/>
      <c r="J194" s="24"/>
      <c r="K194" s="24"/>
      <c r="L194" s="24"/>
      <c r="M194" s="24"/>
      <c r="N194" s="110"/>
      <c r="O194" s="9"/>
      <c r="P194" s="9"/>
      <c r="Q194" s="9"/>
      <c r="R194" s="9"/>
      <c r="S194" s="9"/>
      <c r="T194" s="9"/>
    </row>
    <row r="195" spans="1:20" ht="12.75">
      <c r="A195" s="39"/>
      <c r="B195" s="34"/>
      <c r="C195" s="24"/>
      <c r="D195" s="24"/>
      <c r="E195" s="24"/>
      <c r="F195" s="40"/>
      <c r="G195" s="24"/>
      <c r="H195" s="24"/>
      <c r="I195" s="24"/>
      <c r="J195" s="24"/>
      <c r="K195" s="24"/>
      <c r="L195" s="24"/>
      <c r="M195" s="24"/>
      <c r="N195" s="110"/>
      <c r="O195" s="9"/>
      <c r="P195" s="9"/>
      <c r="Q195" s="9"/>
      <c r="R195" s="9"/>
      <c r="S195" s="9"/>
      <c r="T195" s="9"/>
    </row>
    <row r="196" spans="1:20" ht="12.75">
      <c r="A196" s="39"/>
      <c r="B196" s="34"/>
      <c r="C196" s="24"/>
      <c r="D196" s="24"/>
      <c r="E196" s="24"/>
      <c r="F196" s="40"/>
      <c r="G196" s="24"/>
      <c r="H196" s="24"/>
      <c r="I196" s="24"/>
      <c r="J196" s="24"/>
      <c r="K196" s="24"/>
      <c r="L196" s="24"/>
      <c r="M196" s="24"/>
      <c r="N196" s="110"/>
      <c r="O196" s="9"/>
      <c r="P196" s="9"/>
      <c r="Q196" s="9"/>
      <c r="R196" s="9"/>
      <c r="S196" s="9"/>
      <c r="T196" s="9"/>
    </row>
    <row r="197" spans="1:20" ht="12.75">
      <c r="A197" s="39"/>
      <c r="B197" s="34"/>
      <c r="C197" s="24"/>
      <c r="D197" s="24"/>
      <c r="E197" s="24"/>
      <c r="F197" s="40"/>
      <c r="G197" s="24"/>
      <c r="H197" s="24"/>
      <c r="I197" s="24"/>
      <c r="J197" s="24"/>
      <c r="K197" s="24"/>
      <c r="L197" s="24"/>
      <c r="M197" s="24"/>
      <c r="N197" s="110"/>
      <c r="O197" s="9"/>
      <c r="P197" s="9"/>
      <c r="Q197" s="9"/>
      <c r="R197" s="9"/>
      <c r="S197" s="9"/>
      <c r="T197" s="9"/>
    </row>
    <row r="198" spans="1:20" ht="12.75">
      <c r="A198" s="39"/>
      <c r="B198" s="34"/>
      <c r="C198" s="24"/>
      <c r="D198" s="24"/>
      <c r="E198" s="24"/>
      <c r="F198" s="40"/>
      <c r="G198" s="24"/>
      <c r="H198" s="24"/>
      <c r="I198" s="24"/>
      <c r="J198" s="24"/>
      <c r="K198" s="24"/>
      <c r="L198" s="24"/>
      <c r="M198" s="24"/>
      <c r="O198" s="9"/>
      <c r="P198" s="9"/>
      <c r="Q198" s="9"/>
      <c r="R198" s="9"/>
      <c r="S198" s="9"/>
      <c r="T198" s="9"/>
    </row>
    <row r="199" spans="1:20" ht="12.75">
      <c r="A199" s="39"/>
      <c r="B199" s="34"/>
      <c r="C199" s="24"/>
      <c r="D199" s="24"/>
      <c r="E199" s="24"/>
      <c r="F199" s="40"/>
      <c r="G199" s="24"/>
      <c r="H199" s="24"/>
      <c r="I199" s="24"/>
      <c r="J199" s="24"/>
      <c r="K199" s="24"/>
      <c r="L199" s="24"/>
      <c r="M199" s="24"/>
      <c r="O199" s="9"/>
      <c r="P199" s="9"/>
      <c r="Q199" s="9"/>
      <c r="R199" s="9"/>
      <c r="S199" s="9"/>
      <c r="T199" s="9"/>
    </row>
    <row r="200" spans="1:20" ht="12.75">
      <c r="A200" s="39"/>
      <c r="B200" s="34"/>
      <c r="C200" s="24"/>
      <c r="D200" s="24"/>
      <c r="E200" s="24"/>
      <c r="F200" s="40"/>
      <c r="G200" s="24"/>
      <c r="H200" s="24"/>
      <c r="I200" s="24"/>
      <c r="J200" s="24"/>
      <c r="K200" s="24"/>
      <c r="L200" s="24"/>
      <c r="M200" s="24"/>
      <c r="O200" s="9"/>
      <c r="P200" s="9"/>
      <c r="Q200" s="9"/>
      <c r="R200" s="9"/>
      <c r="S200" s="9"/>
      <c r="T200" s="9"/>
    </row>
    <row r="201" spans="1:20" ht="12.75">
      <c r="A201" s="39"/>
      <c r="B201" s="34"/>
      <c r="C201" s="1"/>
      <c r="D201" s="1"/>
      <c r="E201" s="1"/>
      <c r="F201" s="30"/>
      <c r="G201" s="1"/>
      <c r="H201" s="1"/>
      <c r="I201" s="1"/>
      <c r="J201" s="1"/>
      <c r="K201" s="1"/>
      <c r="L201" s="1"/>
      <c r="M201" s="1"/>
      <c r="O201" s="9"/>
      <c r="P201" s="9"/>
      <c r="Q201" s="9"/>
      <c r="R201" s="9"/>
      <c r="S201" s="9"/>
      <c r="T201" s="9"/>
    </row>
    <row r="202" spans="1:20" ht="12.75">
      <c r="A202" s="39"/>
      <c r="B202" s="34"/>
      <c r="C202" s="1"/>
      <c r="D202" s="1"/>
      <c r="E202" s="1"/>
      <c r="F202" s="30"/>
      <c r="G202" s="1"/>
      <c r="H202" s="1"/>
      <c r="I202" s="1"/>
      <c r="J202" s="1"/>
      <c r="K202" s="1"/>
      <c r="L202" s="1"/>
      <c r="M202" s="1"/>
      <c r="O202" s="9"/>
      <c r="P202" s="9"/>
      <c r="Q202" s="9"/>
      <c r="R202" s="9"/>
      <c r="S202" s="9"/>
      <c r="T202" s="9"/>
    </row>
    <row r="203" spans="1:20" ht="12.75">
      <c r="A203" s="39"/>
      <c r="B203" s="34"/>
      <c r="C203" s="1"/>
      <c r="D203" s="1"/>
      <c r="E203" s="1"/>
      <c r="F203" s="30"/>
      <c r="G203" s="1"/>
      <c r="H203" s="1"/>
      <c r="I203" s="1"/>
      <c r="J203" s="1"/>
      <c r="K203" s="1"/>
      <c r="L203" s="1"/>
      <c r="M203" s="1"/>
      <c r="O203" s="9"/>
      <c r="P203" s="9"/>
      <c r="Q203" s="9"/>
      <c r="R203" s="9"/>
      <c r="S203" s="9"/>
      <c r="T203" s="9"/>
    </row>
    <row r="204" spans="1:20" ht="12.75">
      <c r="A204" s="39"/>
      <c r="B204" s="34"/>
      <c r="C204" s="1"/>
      <c r="D204" s="1"/>
      <c r="E204" s="1"/>
      <c r="F204" s="30"/>
      <c r="G204" s="1"/>
      <c r="H204" s="1"/>
      <c r="I204" s="1"/>
      <c r="J204" s="1"/>
      <c r="K204" s="1"/>
      <c r="L204" s="1"/>
      <c r="M204" s="1"/>
      <c r="O204" s="9"/>
      <c r="P204" s="9"/>
      <c r="Q204" s="9"/>
      <c r="R204" s="9"/>
      <c r="S204" s="9"/>
      <c r="T204" s="9"/>
    </row>
    <row r="205" spans="1:20" ht="12.75">
      <c r="A205" s="39"/>
      <c r="B205" s="34"/>
      <c r="C205" s="1"/>
      <c r="D205" s="1"/>
      <c r="E205" s="1"/>
      <c r="F205" s="30"/>
      <c r="G205" s="1"/>
      <c r="H205" s="1"/>
      <c r="I205" s="1"/>
      <c r="J205" s="1"/>
      <c r="K205" s="1"/>
      <c r="L205" s="1"/>
      <c r="M205" s="1"/>
      <c r="O205" s="9"/>
      <c r="P205" s="9"/>
      <c r="Q205" s="9"/>
      <c r="R205" s="9"/>
      <c r="S205" s="9"/>
      <c r="T205" s="9"/>
    </row>
    <row r="206" spans="1:13" ht="12.75">
      <c r="A206" s="39"/>
      <c r="B206" s="41"/>
      <c r="C206" s="1"/>
      <c r="D206" s="1"/>
      <c r="E206" s="1"/>
      <c r="F206" s="30"/>
      <c r="G206" s="1"/>
      <c r="H206" s="1"/>
      <c r="I206" s="1"/>
      <c r="J206" s="1"/>
      <c r="K206" s="1"/>
      <c r="L206" s="1"/>
      <c r="M206" s="1"/>
    </row>
    <row r="207" spans="1:13" ht="12.75">
      <c r="A207" s="39"/>
      <c r="B207" s="41"/>
      <c r="C207" s="1"/>
      <c r="D207" s="1"/>
      <c r="E207" s="1"/>
      <c r="F207" s="30"/>
      <c r="G207" s="1"/>
      <c r="H207" s="1"/>
      <c r="I207" s="1"/>
      <c r="J207" s="1"/>
      <c r="K207" s="1"/>
      <c r="L207" s="1"/>
      <c r="M207" s="1"/>
    </row>
    <row r="208" spans="1:13" ht="12.75">
      <c r="A208" s="39"/>
      <c r="B208" s="41"/>
      <c r="C208" s="1"/>
      <c r="D208" s="1"/>
      <c r="E208" s="1"/>
      <c r="F208" s="30"/>
      <c r="G208" s="1"/>
      <c r="H208" s="1"/>
      <c r="I208" s="1"/>
      <c r="J208" s="1"/>
      <c r="K208" s="1"/>
      <c r="L208" s="1"/>
      <c r="M208" s="1"/>
    </row>
    <row r="209" spans="1:13" ht="12.75">
      <c r="A209" s="39"/>
      <c r="B209" s="41"/>
      <c r="C209" s="1"/>
      <c r="D209" s="1"/>
      <c r="E209" s="1"/>
      <c r="F209" s="30"/>
      <c r="G209" s="1"/>
      <c r="H209" s="1"/>
      <c r="I209" s="1"/>
      <c r="J209" s="1"/>
      <c r="K209" s="1"/>
      <c r="L209" s="1"/>
      <c r="M209" s="1"/>
    </row>
    <row r="210" spans="1:13" ht="12.75">
      <c r="A210" s="39"/>
      <c r="B210" s="41"/>
      <c r="C210" s="1"/>
      <c r="D210" s="1"/>
      <c r="E210" s="1"/>
      <c r="F210" s="30"/>
      <c r="G210" s="1"/>
      <c r="H210" s="1"/>
      <c r="I210" s="1"/>
      <c r="J210" s="1"/>
      <c r="K210" s="1"/>
      <c r="L210" s="1"/>
      <c r="M210" s="1"/>
    </row>
    <row r="211" spans="1:13" ht="12.75">
      <c r="A211" s="39"/>
      <c r="B211" s="41"/>
      <c r="C211" s="1"/>
      <c r="D211" s="1"/>
      <c r="E211" s="1"/>
      <c r="F211" s="30"/>
      <c r="G211" s="1"/>
      <c r="H211" s="1"/>
      <c r="I211" s="1"/>
      <c r="J211" s="1"/>
      <c r="K211" s="1"/>
      <c r="L211" s="1"/>
      <c r="M211" s="1"/>
    </row>
    <row r="212" spans="1:13" ht="12.75">
      <c r="A212" s="39"/>
      <c r="B212" s="41"/>
      <c r="C212" s="1"/>
      <c r="D212" s="1"/>
      <c r="E212" s="1"/>
      <c r="F212" s="30"/>
      <c r="G212" s="1"/>
      <c r="H212" s="1"/>
      <c r="I212" s="1"/>
      <c r="J212" s="1"/>
      <c r="K212" s="1"/>
      <c r="L212" s="1"/>
      <c r="M212" s="1"/>
    </row>
    <row r="213" spans="1:13" ht="12.75">
      <c r="A213" s="39"/>
      <c r="B213" s="41"/>
      <c r="C213" s="1"/>
      <c r="D213" s="1"/>
      <c r="E213" s="1"/>
      <c r="F213" s="30"/>
      <c r="G213" s="1"/>
      <c r="H213" s="1"/>
      <c r="I213" s="1"/>
      <c r="J213" s="1"/>
      <c r="K213" s="1"/>
      <c r="L213" s="1"/>
      <c r="M213" s="1"/>
    </row>
    <row r="214" spans="1:13" ht="12.75">
      <c r="A214" s="39"/>
      <c r="B214" s="41"/>
      <c r="C214" s="1"/>
      <c r="D214" s="1"/>
      <c r="E214" s="1"/>
      <c r="F214" s="30"/>
      <c r="G214" s="1"/>
      <c r="H214" s="1"/>
      <c r="I214" s="1"/>
      <c r="J214" s="1"/>
      <c r="K214" s="1"/>
      <c r="L214" s="1"/>
      <c r="M214" s="1"/>
    </row>
    <row r="215" spans="1:13" ht="12.75">
      <c r="A215" s="39"/>
      <c r="B215" s="41"/>
      <c r="C215" s="1"/>
      <c r="D215" s="1"/>
      <c r="E215" s="1"/>
      <c r="F215" s="30"/>
      <c r="G215" s="1"/>
      <c r="H215" s="1"/>
      <c r="I215" s="1"/>
      <c r="J215" s="1"/>
      <c r="K215" s="1"/>
      <c r="L215" s="1"/>
      <c r="M215" s="1"/>
    </row>
    <row r="216" spans="2:13" ht="12.75">
      <c r="B216" s="41"/>
      <c r="C216" s="1"/>
      <c r="D216" s="1"/>
      <c r="E216" s="1"/>
      <c r="F216" s="30"/>
      <c r="G216" s="1"/>
      <c r="H216" s="1"/>
      <c r="I216" s="1"/>
      <c r="J216" s="1"/>
      <c r="K216" s="1"/>
      <c r="L216" s="1"/>
      <c r="M216" s="1"/>
    </row>
    <row r="217" spans="2:13" ht="12.75">
      <c r="B217" s="41"/>
      <c r="C217" s="1"/>
      <c r="D217" s="1"/>
      <c r="E217" s="1"/>
      <c r="F217" s="30"/>
      <c r="G217" s="1"/>
      <c r="H217" s="1"/>
      <c r="I217" s="1"/>
      <c r="J217" s="1"/>
      <c r="K217" s="1"/>
      <c r="L217" s="1"/>
      <c r="M217" s="1"/>
    </row>
    <row r="218" spans="2:13" ht="12.75">
      <c r="B218" s="41"/>
      <c r="C218" s="1"/>
      <c r="D218" s="1"/>
      <c r="E218" s="1"/>
      <c r="F218" s="30"/>
      <c r="G218" s="1"/>
      <c r="H218" s="1"/>
      <c r="I218" s="1"/>
      <c r="J218" s="1"/>
      <c r="K218" s="1"/>
      <c r="L218" s="1"/>
      <c r="M218" s="1"/>
    </row>
    <row r="219" spans="2:13" ht="12.75">
      <c r="B219" s="41"/>
      <c r="C219" s="1"/>
      <c r="D219" s="1"/>
      <c r="E219" s="1"/>
      <c r="F219" s="30"/>
      <c r="G219" s="1"/>
      <c r="H219" s="1"/>
      <c r="I219" s="1"/>
      <c r="J219" s="1"/>
      <c r="K219" s="1"/>
      <c r="L219" s="1"/>
      <c r="M219" s="1"/>
    </row>
    <row r="220" spans="2:13" ht="12.75">
      <c r="B220" s="41"/>
      <c r="C220" s="1"/>
      <c r="D220" s="1"/>
      <c r="E220" s="1"/>
      <c r="F220" s="30"/>
      <c r="G220" s="1"/>
      <c r="H220" s="1"/>
      <c r="I220" s="1"/>
      <c r="J220" s="1"/>
      <c r="K220" s="1"/>
      <c r="L220" s="1"/>
      <c r="M220" s="1"/>
    </row>
    <row r="221" spans="2:13" ht="12.75">
      <c r="B221" s="41"/>
      <c r="C221" s="1"/>
      <c r="D221" s="1"/>
      <c r="E221" s="1"/>
      <c r="F221" s="30"/>
      <c r="G221" s="1"/>
      <c r="H221" s="1"/>
      <c r="I221" s="1"/>
      <c r="J221" s="1"/>
      <c r="K221" s="1"/>
      <c r="L221" s="1"/>
      <c r="M221" s="1"/>
    </row>
    <row r="222" spans="2:13" ht="12.75">
      <c r="B222" s="41"/>
      <c r="C222" s="1"/>
      <c r="D222" s="1"/>
      <c r="E222" s="1"/>
      <c r="F222" s="30"/>
      <c r="G222" s="1"/>
      <c r="H222" s="1"/>
      <c r="I222" s="1"/>
      <c r="J222" s="1"/>
      <c r="K222" s="1"/>
      <c r="L222" s="1"/>
      <c r="M222" s="1"/>
    </row>
    <row r="223" spans="2:13" ht="12.75">
      <c r="B223" s="41"/>
      <c r="C223" s="1"/>
      <c r="D223" s="1"/>
      <c r="E223" s="1"/>
      <c r="F223" s="30"/>
      <c r="G223" s="1"/>
      <c r="H223" s="1"/>
      <c r="I223" s="1"/>
      <c r="J223" s="1"/>
      <c r="K223" s="1"/>
      <c r="L223" s="1"/>
      <c r="M223" s="1"/>
    </row>
    <row r="224" spans="2:13" ht="12.75">
      <c r="B224" s="41"/>
      <c r="C224" s="1"/>
      <c r="D224" s="1"/>
      <c r="E224" s="1"/>
      <c r="F224" s="30"/>
      <c r="G224" s="1"/>
      <c r="H224" s="1"/>
      <c r="I224" s="1"/>
      <c r="J224" s="1"/>
      <c r="K224" s="1"/>
      <c r="L224" s="1"/>
      <c r="M224" s="1"/>
    </row>
    <row r="225" spans="2:13" ht="12.75">
      <c r="B225" s="41"/>
      <c r="C225" s="1"/>
      <c r="D225" s="1"/>
      <c r="E225" s="1"/>
      <c r="F225" s="30"/>
      <c r="G225" s="1"/>
      <c r="H225" s="1"/>
      <c r="I225" s="1"/>
      <c r="J225" s="1"/>
      <c r="K225" s="1"/>
      <c r="L225" s="1"/>
      <c r="M225" s="1"/>
    </row>
    <row r="226" spans="2:13" ht="12.75">
      <c r="B226" s="41"/>
      <c r="C226" s="1"/>
      <c r="D226" s="1"/>
      <c r="E226" s="1"/>
      <c r="F226" s="30"/>
      <c r="G226" s="1"/>
      <c r="H226" s="1"/>
      <c r="I226" s="1"/>
      <c r="J226" s="1"/>
      <c r="K226" s="1"/>
      <c r="L226" s="1"/>
      <c r="M226" s="1"/>
    </row>
    <row r="227" spans="2:13" ht="12.75">
      <c r="B227" s="41"/>
      <c r="C227" s="1"/>
      <c r="D227" s="1"/>
      <c r="E227" s="1"/>
      <c r="F227" s="30"/>
      <c r="G227" s="1"/>
      <c r="H227" s="1"/>
      <c r="I227" s="1"/>
      <c r="J227" s="1"/>
      <c r="K227" s="1"/>
      <c r="L227" s="1"/>
      <c r="M227" s="1"/>
    </row>
    <row r="228" spans="2:13" ht="12.75">
      <c r="B228" s="41"/>
      <c r="C228" s="1"/>
      <c r="D228" s="1"/>
      <c r="E228" s="1"/>
      <c r="F228" s="30"/>
      <c r="G228" s="1"/>
      <c r="H228" s="1"/>
      <c r="I228" s="1"/>
      <c r="J228" s="1"/>
      <c r="K228" s="1"/>
      <c r="L228" s="1"/>
      <c r="M228" s="1"/>
    </row>
    <row r="229" spans="2:13" ht="12.75">
      <c r="B229" s="41"/>
      <c r="C229" s="1"/>
      <c r="D229" s="1"/>
      <c r="E229" s="1"/>
      <c r="F229" s="30"/>
      <c r="G229" s="1"/>
      <c r="H229" s="1"/>
      <c r="I229" s="1"/>
      <c r="J229" s="1"/>
      <c r="K229" s="1"/>
      <c r="L229" s="1"/>
      <c r="M229" s="1"/>
    </row>
    <row r="230" spans="2:13" ht="12.75">
      <c r="B230" s="41"/>
      <c r="C230" s="1"/>
      <c r="D230" s="1"/>
      <c r="E230" s="1"/>
      <c r="F230" s="30"/>
      <c r="G230" s="1"/>
      <c r="H230" s="1"/>
      <c r="I230" s="1"/>
      <c r="J230" s="1"/>
      <c r="K230" s="1"/>
      <c r="L230" s="1"/>
      <c r="M230" s="1"/>
    </row>
    <row r="231" spans="2:13" ht="12.75">
      <c r="B231" s="41"/>
      <c r="C231" s="1"/>
      <c r="D231" s="1"/>
      <c r="E231" s="1"/>
      <c r="F231" s="30"/>
      <c r="G231" s="1"/>
      <c r="H231" s="1"/>
      <c r="I231" s="1"/>
      <c r="J231" s="1"/>
      <c r="K231" s="1"/>
      <c r="L231" s="1"/>
      <c r="M231" s="1"/>
    </row>
    <row r="232" spans="2:13" ht="12.75">
      <c r="B232" s="41"/>
      <c r="C232" s="1"/>
      <c r="D232" s="1"/>
      <c r="E232" s="1"/>
      <c r="F232" s="30"/>
      <c r="G232" s="1"/>
      <c r="H232" s="1"/>
      <c r="I232" s="1"/>
      <c r="J232" s="1"/>
      <c r="K232" s="1"/>
      <c r="L232" s="1"/>
      <c r="M232" s="1"/>
    </row>
    <row r="233" spans="2:13" ht="12.75">
      <c r="B233" s="41"/>
      <c r="C233" s="1"/>
      <c r="D233" s="1"/>
      <c r="E233" s="1"/>
      <c r="F233" s="30"/>
      <c r="G233" s="1"/>
      <c r="H233" s="1"/>
      <c r="I233" s="1"/>
      <c r="J233" s="1"/>
      <c r="K233" s="1"/>
      <c r="L233" s="1"/>
      <c r="M233" s="1"/>
    </row>
    <row r="234" spans="2:13" ht="12.75">
      <c r="B234" s="41"/>
      <c r="C234" s="1"/>
      <c r="D234" s="1"/>
      <c r="E234" s="1"/>
      <c r="F234" s="30"/>
      <c r="G234" s="1"/>
      <c r="H234" s="1"/>
      <c r="I234" s="1"/>
      <c r="J234" s="1"/>
      <c r="K234" s="1"/>
      <c r="L234" s="1"/>
      <c r="M234" s="1"/>
    </row>
    <row r="235" spans="2:13" ht="12.75">
      <c r="B235" s="41"/>
      <c r="C235" s="1"/>
      <c r="D235" s="1"/>
      <c r="E235" s="1"/>
      <c r="F235" s="30"/>
      <c r="G235" s="1"/>
      <c r="H235" s="1"/>
      <c r="I235" s="1"/>
      <c r="J235" s="1"/>
      <c r="K235" s="1"/>
      <c r="L235" s="1"/>
      <c r="M235" s="1"/>
    </row>
    <row r="236" spans="2:13" ht="12.75">
      <c r="B236" s="41"/>
      <c r="C236" s="1"/>
      <c r="D236" s="1"/>
      <c r="E236" s="1"/>
      <c r="F236" s="30"/>
      <c r="G236" s="1"/>
      <c r="H236" s="1"/>
      <c r="I236" s="1"/>
      <c r="J236" s="1"/>
      <c r="K236" s="1"/>
      <c r="L236" s="1"/>
      <c r="M236" s="1"/>
    </row>
    <row r="237" spans="2:13" ht="12.75">
      <c r="B237" s="41"/>
      <c r="C237" s="1"/>
      <c r="D237" s="1"/>
      <c r="E237" s="1"/>
      <c r="F237" s="30"/>
      <c r="G237" s="1"/>
      <c r="H237" s="1"/>
      <c r="I237" s="1"/>
      <c r="J237" s="1"/>
      <c r="K237" s="1"/>
      <c r="L237" s="1"/>
      <c r="M237" s="1"/>
    </row>
    <row r="238" spans="2:13" ht="12.75">
      <c r="B238" s="41"/>
      <c r="C238" s="1"/>
      <c r="D238" s="1"/>
      <c r="E238" s="1"/>
      <c r="F238" s="30"/>
      <c r="G238" s="1"/>
      <c r="H238" s="1"/>
      <c r="I238" s="1"/>
      <c r="J238" s="1"/>
      <c r="K238" s="1"/>
      <c r="L238" s="1"/>
      <c r="M238" s="1"/>
    </row>
    <row r="239" spans="2:13" ht="12.75">
      <c r="B239" s="41"/>
      <c r="C239" s="1"/>
      <c r="D239" s="1"/>
      <c r="E239" s="1"/>
      <c r="F239" s="30"/>
      <c r="G239" s="1"/>
      <c r="H239" s="1"/>
      <c r="I239" s="1"/>
      <c r="J239" s="1"/>
      <c r="K239" s="1"/>
      <c r="L239" s="1"/>
      <c r="M239" s="1"/>
    </row>
    <row r="240" spans="2:13" ht="12.75">
      <c r="B240" s="41"/>
      <c r="C240" s="1"/>
      <c r="D240" s="1"/>
      <c r="E240" s="1"/>
      <c r="F240" s="30"/>
      <c r="G240" s="1"/>
      <c r="H240" s="1"/>
      <c r="I240" s="1"/>
      <c r="J240" s="1"/>
      <c r="K240" s="1"/>
      <c r="L240" s="1"/>
      <c r="M240" s="1"/>
    </row>
    <row r="241" spans="2:13" ht="12.75">
      <c r="B241" s="41"/>
      <c r="C241" s="1"/>
      <c r="D241" s="1"/>
      <c r="E241" s="1"/>
      <c r="F241" s="30"/>
      <c r="G241" s="1"/>
      <c r="H241" s="1"/>
      <c r="I241" s="1"/>
      <c r="J241" s="1"/>
      <c r="K241" s="1"/>
      <c r="L241" s="1"/>
      <c r="M241" s="1"/>
    </row>
    <row r="242" spans="2:13" ht="12.75">
      <c r="B242" s="41"/>
      <c r="C242" s="1"/>
      <c r="D242" s="1"/>
      <c r="E242" s="1"/>
      <c r="F242" s="30"/>
      <c r="G242" s="1"/>
      <c r="H242" s="1"/>
      <c r="I242" s="1"/>
      <c r="J242" s="1"/>
      <c r="K242" s="1"/>
      <c r="L242" s="1"/>
      <c r="M242" s="1"/>
    </row>
  </sheetData>
  <sheetProtection/>
  <mergeCells count="3">
    <mergeCell ref="A1:N1"/>
    <mergeCell ref="A2:N2"/>
    <mergeCell ref="A3:N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90" r:id="rId1"/>
  <headerFooter alignWithMargins="0"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3:AG40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B16384"/>
    </sheetView>
  </sheetViews>
  <sheetFormatPr defaultColWidth="9.140625" defaultRowHeight="12.75"/>
  <cols>
    <col min="1" max="1" width="52.28125" style="59" customWidth="1"/>
    <col min="2" max="2" width="13.7109375" style="165" customWidth="1"/>
    <col min="3" max="3" width="12.28125" style="165" hidden="1" customWidth="1"/>
    <col min="4" max="4" width="13.00390625" style="165" hidden="1" customWidth="1"/>
    <col min="5" max="5" width="13.140625" style="165" hidden="1" customWidth="1"/>
    <col min="6" max="6" width="13.7109375" style="165" hidden="1" customWidth="1"/>
    <col min="7" max="7" width="10.28125" style="379" hidden="1" customWidth="1"/>
    <col min="8" max="8" width="14.421875" style="165" hidden="1" customWidth="1"/>
    <col min="9" max="9" width="10.8515625" style="444" hidden="1" customWidth="1"/>
    <col min="10" max="10" width="13.28125" style="379" hidden="1" customWidth="1"/>
    <col min="11" max="11" width="12.7109375" style="0" hidden="1" customWidth="1"/>
    <col min="12" max="12" width="13.7109375" style="0" hidden="1" customWidth="1"/>
    <col min="13" max="13" width="11.7109375" style="0" hidden="1" customWidth="1"/>
    <col min="14" max="14" width="10.140625" style="0" hidden="1" customWidth="1"/>
    <col min="15" max="15" width="10.7109375" style="0" hidden="1" customWidth="1"/>
    <col min="16" max="17" width="9.140625" style="0" hidden="1" customWidth="1"/>
    <col min="18" max="24" width="9.140625" style="0" customWidth="1"/>
    <col min="25" max="25" width="17.140625" style="10" hidden="1" customWidth="1"/>
    <col min="26" max="26" width="19.00390625" style="10" hidden="1" customWidth="1"/>
    <col min="27" max="27" width="13.7109375" style="0" hidden="1" customWidth="1"/>
    <col min="28" max="28" width="17.421875" style="0" hidden="1" customWidth="1"/>
    <col min="29" max="30" width="17.140625" style="0" hidden="1" customWidth="1"/>
    <col min="31" max="31" width="15.00390625" style="0" hidden="1" customWidth="1"/>
    <col min="32" max="32" width="27.00390625" style="0" hidden="1" customWidth="1"/>
    <col min="33" max="33" width="17.140625" style="0" hidden="1" customWidth="1"/>
    <col min="34" max="35" width="0" style="0" hidden="1" customWidth="1"/>
  </cols>
  <sheetData>
    <row r="3" spans="1:26" s="60" customFormat="1" ht="15">
      <c r="A3" s="517">
        <v>43130</v>
      </c>
      <c r="B3" s="391"/>
      <c r="C3" s="391"/>
      <c r="D3" s="391"/>
      <c r="E3" s="391"/>
      <c r="F3" s="391"/>
      <c r="G3" s="391"/>
      <c r="H3" s="391"/>
      <c r="I3" s="391"/>
      <c r="J3" s="379"/>
      <c r="Y3" s="132"/>
      <c r="Z3" s="132"/>
    </row>
    <row r="4" spans="1:26" s="22" customFormat="1" ht="21.75" customHeight="1">
      <c r="A4" s="722" t="s">
        <v>1</v>
      </c>
      <c r="B4" s="470" t="s">
        <v>1015</v>
      </c>
      <c r="C4" s="470" t="s">
        <v>45</v>
      </c>
      <c r="D4" s="166" t="s">
        <v>163</v>
      </c>
      <c r="E4" s="166" t="str">
        <f>B4</f>
        <v>PRESUPUESTO</v>
      </c>
      <c r="F4" s="166" t="s">
        <v>72</v>
      </c>
      <c r="G4" s="723" t="s">
        <v>477</v>
      </c>
      <c r="H4" s="166" t="s">
        <v>72</v>
      </c>
      <c r="I4" s="471" t="s">
        <v>71</v>
      </c>
      <c r="J4" s="166" t="s">
        <v>163</v>
      </c>
      <c r="Y4" s="133"/>
      <c r="Z4" s="133"/>
    </row>
    <row r="5" spans="1:26" s="22" customFormat="1" ht="15.75" customHeight="1" thickBot="1">
      <c r="A5" s="722"/>
      <c r="B5" s="725">
        <v>2018</v>
      </c>
      <c r="C5" s="476">
        <v>2017</v>
      </c>
      <c r="D5" s="472" t="s">
        <v>921</v>
      </c>
      <c r="E5" s="473">
        <v>2014</v>
      </c>
      <c r="F5" s="474" t="s">
        <v>446</v>
      </c>
      <c r="G5" s="724"/>
      <c r="H5" s="474" t="s">
        <v>469</v>
      </c>
      <c r="I5" s="475" t="s">
        <v>472</v>
      </c>
      <c r="J5" s="472" t="s">
        <v>926</v>
      </c>
      <c r="Y5" s="133"/>
      <c r="Z5" s="133"/>
    </row>
    <row r="6" spans="1:31" s="22" customFormat="1" ht="18" customHeight="1" thickBot="1">
      <c r="A6" s="722"/>
      <c r="B6" s="726"/>
      <c r="C6" s="394" t="s">
        <v>920</v>
      </c>
      <c r="D6" s="188" t="s">
        <v>470</v>
      </c>
      <c r="E6" s="188" t="s">
        <v>471</v>
      </c>
      <c r="F6" s="190" t="s">
        <v>474</v>
      </c>
      <c r="G6" s="392" t="s">
        <v>474</v>
      </c>
      <c r="H6" s="395" t="s">
        <v>473</v>
      </c>
      <c r="I6" s="396" t="s">
        <v>473</v>
      </c>
      <c r="J6" s="469"/>
      <c r="Y6" s="133"/>
      <c r="Z6" s="133"/>
      <c r="AA6" s="204" t="s">
        <v>397</v>
      </c>
      <c r="AB6" s="205" t="s">
        <v>398</v>
      </c>
      <c r="AC6" s="205" t="s">
        <v>399</v>
      </c>
      <c r="AD6" s="205" t="s">
        <v>72</v>
      </c>
      <c r="AE6" s="205" t="s">
        <v>400</v>
      </c>
    </row>
    <row r="7" spans="1:31" s="22" customFormat="1" ht="16.5" thickBot="1">
      <c r="A7" s="378" t="s">
        <v>643</v>
      </c>
      <c r="B7" s="397">
        <v>159780598.96</v>
      </c>
      <c r="C7" s="397">
        <v>300137200</v>
      </c>
      <c r="D7" s="398"/>
      <c r="E7" s="399"/>
      <c r="F7" s="399"/>
      <c r="G7" s="400"/>
      <c r="H7" s="399"/>
      <c r="I7" s="401"/>
      <c r="J7" s="380"/>
      <c r="Y7" s="133"/>
      <c r="Z7" s="133"/>
      <c r="AA7" s="206" t="s">
        <v>401</v>
      </c>
      <c r="AB7" s="207">
        <v>4242626498</v>
      </c>
      <c r="AC7" s="207">
        <f>B26</f>
        <v>2485960705.42</v>
      </c>
      <c r="AD7" s="207">
        <f>AB7-AC7</f>
        <v>1756665792.58</v>
      </c>
      <c r="AE7" s="208">
        <f>(AB7-AC7)/AC7</f>
        <v>0.7066345774291768</v>
      </c>
    </row>
    <row r="8" spans="1:31" s="22" customFormat="1" ht="16.5" thickBot="1">
      <c r="A8" s="301" t="s">
        <v>10</v>
      </c>
      <c r="B8" s="345"/>
      <c r="C8" s="345"/>
      <c r="D8" s="345"/>
      <c r="E8" s="345"/>
      <c r="F8" s="345"/>
      <c r="G8" s="380"/>
      <c r="H8" s="345"/>
      <c r="I8" s="402"/>
      <c r="J8" s="380"/>
      <c r="Y8" s="133"/>
      <c r="Z8" s="133"/>
      <c r="AA8" s="206" t="s">
        <v>402</v>
      </c>
      <c r="AB8" s="207">
        <v>1559204290</v>
      </c>
      <c r="AC8" s="207">
        <f>B259</f>
        <v>2400269608.1255207</v>
      </c>
      <c r="AD8" s="207">
        <f>AB8-AC8</f>
        <v>-841065318.1255207</v>
      </c>
      <c r="AE8" s="208">
        <f>(AB8-AC8)/AC8</f>
        <v>-0.35040451925829563</v>
      </c>
    </row>
    <row r="9" spans="1:31" s="22" customFormat="1" ht="12.75" customHeight="1" thickBot="1">
      <c r="A9" s="346"/>
      <c r="B9" s="345"/>
      <c r="C9" s="345"/>
      <c r="D9" s="345"/>
      <c r="E9" s="345"/>
      <c r="F9" s="345"/>
      <c r="G9" s="380"/>
      <c r="H9" s="345"/>
      <c r="I9" s="402"/>
      <c r="J9" s="380"/>
      <c r="Y9" s="133"/>
      <c r="Z9" s="133"/>
      <c r="AA9" s="206" t="s">
        <v>403</v>
      </c>
      <c r="AB9" s="207">
        <v>137566513</v>
      </c>
      <c r="AC9" s="207">
        <f>B287</f>
        <v>66766129.279999994</v>
      </c>
      <c r="AD9" s="207">
        <f>AB9-AC9</f>
        <v>70800383.72</v>
      </c>
      <c r="AE9" s="208">
        <f>(AB9-AC9)/AC9</f>
        <v>1.0604236681608632</v>
      </c>
    </row>
    <row r="10" spans="1:26" s="22" customFormat="1" ht="12.75" customHeight="1">
      <c r="A10" s="346" t="s">
        <v>11</v>
      </c>
      <c r="B10" s="345">
        <f>Resultado!N10</f>
        <v>1447762027.4499998</v>
      </c>
      <c r="C10" s="345">
        <v>1396282945</v>
      </c>
      <c r="D10" s="345">
        <f>(J10/7)*12</f>
        <v>1403058297.857143</v>
      </c>
      <c r="E10" s="345">
        <v>1223686224.1399999</v>
      </c>
      <c r="F10" s="345">
        <f>B10-D10</f>
        <v>44703729.592856884</v>
      </c>
      <c r="G10" s="403">
        <f>(B10-D10)/D10</f>
        <v>0.031861633733346516</v>
      </c>
      <c r="H10" s="345">
        <f>B10-E10</f>
        <v>224075803.30999994</v>
      </c>
      <c r="I10" s="403">
        <f>(B10-E10)/E10</f>
        <v>0.18311540890923997</v>
      </c>
      <c r="J10" s="380">
        <v>818450673.75</v>
      </c>
      <c r="Y10" s="133"/>
      <c r="Z10" s="133"/>
    </row>
    <row r="11" spans="1:26" s="193" customFormat="1" ht="12.75" customHeight="1">
      <c r="A11" s="309" t="s">
        <v>224</v>
      </c>
      <c r="B11" s="404">
        <f>Resultado!N11</f>
        <v>302741612.97</v>
      </c>
      <c r="C11" s="404">
        <v>298137278</v>
      </c>
      <c r="D11" s="345">
        <f>(J11)</f>
        <v>302741612.97</v>
      </c>
      <c r="E11" s="404">
        <v>207994586.13</v>
      </c>
      <c r="F11" s="404">
        <f>B11-D11</f>
        <v>0</v>
      </c>
      <c r="G11" s="405">
        <f>(B11-D11)/D11</f>
        <v>0</v>
      </c>
      <c r="H11" s="345">
        <f>B11-E11</f>
        <v>94747026.84000003</v>
      </c>
      <c r="I11" s="405">
        <f>(B11-E11)/E11</f>
        <v>0.4555264086574907</v>
      </c>
      <c r="J11" s="381">
        <v>302741612.97</v>
      </c>
      <c r="Y11" s="248"/>
      <c r="Z11" s="194"/>
    </row>
    <row r="12" spans="1:26" s="11" customFormat="1" ht="12.75">
      <c r="A12" s="301" t="s">
        <v>578</v>
      </c>
      <c r="B12" s="303">
        <f>SUM(B10:B11)</f>
        <v>1750503640.4199998</v>
      </c>
      <c r="C12" s="303">
        <f>SUM(C10:C11)</f>
        <v>1694420223</v>
      </c>
      <c r="D12" s="303">
        <f>SUM(D10:D11)</f>
        <v>1705799910.827143</v>
      </c>
      <c r="E12" s="303"/>
      <c r="F12" s="384">
        <f>B12-D12</f>
        <v>44703729.592856884</v>
      </c>
      <c r="G12" s="406">
        <f>(B12-D12)/D12</f>
        <v>0.026206901119592643</v>
      </c>
      <c r="H12" s="303"/>
      <c r="I12" s="401"/>
      <c r="J12" s="303">
        <f>SUM(J10:J11)</f>
        <v>1121192286.72</v>
      </c>
      <c r="Y12" s="145"/>
      <c r="Z12" s="145"/>
    </row>
    <row r="13" spans="1:26" s="11" customFormat="1" ht="9" customHeight="1">
      <c r="A13" s="301"/>
      <c r="B13" s="303"/>
      <c r="C13" s="303"/>
      <c r="D13" s="303"/>
      <c r="E13" s="303"/>
      <c r="F13" s="384"/>
      <c r="G13" s="406"/>
      <c r="H13" s="303"/>
      <c r="I13" s="401"/>
      <c r="J13" s="87"/>
      <c r="Y13" s="145"/>
      <c r="Z13" s="145"/>
    </row>
    <row r="14" spans="1:26" s="226" customFormat="1" ht="12.75" customHeight="1">
      <c r="A14" s="448" t="s">
        <v>13</v>
      </c>
      <c r="B14" s="384"/>
      <c r="C14" s="384"/>
      <c r="D14" s="384"/>
      <c r="E14" s="384"/>
      <c r="F14" s="384"/>
      <c r="G14" s="406"/>
      <c r="H14" s="303"/>
      <c r="I14" s="406"/>
      <c r="J14" s="382"/>
      <c r="Y14" s="307"/>
      <c r="Z14" s="227"/>
    </row>
    <row r="15" spans="1:26" s="22" customFormat="1" ht="12.75" customHeight="1">
      <c r="A15" s="346" t="s">
        <v>577</v>
      </c>
      <c r="B15" s="345">
        <f>Resultado!N13</f>
        <v>23408918.040000007</v>
      </c>
      <c r="C15" s="345">
        <v>48434125</v>
      </c>
      <c r="D15" s="345">
        <f aca="true" t="shared" si="0" ref="D15:D22">(J15/7)*12</f>
        <v>4347486.908571428</v>
      </c>
      <c r="E15" s="345"/>
      <c r="F15" s="345">
        <f aca="true" t="shared" si="1" ref="F15:F21">B15-D15</f>
        <v>19061431.131428577</v>
      </c>
      <c r="G15" s="403">
        <f aca="true" t="shared" si="2" ref="G15:G24">(B15-D15)/D15</f>
        <v>4.38447119733642</v>
      </c>
      <c r="H15" s="345">
        <f>B15-E15</f>
        <v>23408918.040000007</v>
      </c>
      <c r="I15" s="403" t="e">
        <f>(B15-E15)/E15</f>
        <v>#DIV/0!</v>
      </c>
      <c r="J15" s="380">
        <v>2536034.03</v>
      </c>
      <c r="Y15" s="133"/>
      <c r="Z15" s="133"/>
    </row>
    <row r="16" spans="1:26" s="22" customFormat="1" ht="12.75" customHeight="1">
      <c r="A16" s="309" t="s">
        <v>585</v>
      </c>
      <c r="B16" s="345">
        <f>Resultado!N14</f>
        <v>4465000.079999999</v>
      </c>
      <c r="C16" s="345">
        <v>0</v>
      </c>
      <c r="D16" s="345">
        <f t="shared" si="0"/>
        <v>4153830.034285715</v>
      </c>
      <c r="E16" s="345"/>
      <c r="F16" s="345">
        <f t="shared" si="1"/>
        <v>311170.0457142843</v>
      </c>
      <c r="G16" s="403">
        <f t="shared" si="2"/>
        <v>0.07491159800615013</v>
      </c>
      <c r="H16" s="345"/>
      <c r="I16" s="403"/>
      <c r="J16" s="380">
        <v>2423067.52</v>
      </c>
      <c r="Y16" s="133"/>
      <c r="Z16" s="133"/>
    </row>
    <row r="17" spans="1:33" s="193" customFormat="1" ht="12.75" customHeight="1" hidden="1" thickBot="1">
      <c r="A17" s="309" t="s">
        <v>322</v>
      </c>
      <c r="B17" s="404">
        <f>Resultado!N15</f>
        <v>0</v>
      </c>
      <c r="C17" s="404">
        <v>0</v>
      </c>
      <c r="D17" s="345">
        <f t="shared" si="0"/>
        <v>0</v>
      </c>
      <c r="E17" s="404">
        <v>225000</v>
      </c>
      <c r="F17" s="404">
        <f t="shared" si="1"/>
        <v>0</v>
      </c>
      <c r="G17" s="407" t="s">
        <v>416</v>
      </c>
      <c r="H17" s="345">
        <f>B17-E17</f>
        <v>-225000</v>
      </c>
      <c r="I17" s="405">
        <f>(B17-E17)/E17</f>
        <v>-1</v>
      </c>
      <c r="J17" s="381"/>
      <c r="Y17" s="194"/>
      <c r="Z17" s="194"/>
      <c r="AC17" s="249" t="s">
        <v>397</v>
      </c>
      <c r="AD17" s="250" t="s">
        <v>45</v>
      </c>
      <c r="AF17" s="251" t="s">
        <v>397</v>
      </c>
      <c r="AG17" s="250" t="s">
        <v>45</v>
      </c>
    </row>
    <row r="18" spans="1:33" s="193" customFormat="1" ht="12.75" customHeight="1" thickBot="1">
      <c r="A18" s="309" t="s">
        <v>324</v>
      </c>
      <c r="B18" s="404">
        <f>Resultado!N16</f>
        <v>1200000</v>
      </c>
      <c r="C18" s="404">
        <v>1800000</v>
      </c>
      <c r="D18" s="345">
        <f t="shared" si="0"/>
        <v>725821.6285714286</v>
      </c>
      <c r="E18" s="404">
        <v>4662200</v>
      </c>
      <c r="F18" s="404">
        <f t="shared" si="1"/>
        <v>474178.3714285714</v>
      </c>
      <c r="G18" s="405">
        <f t="shared" si="2"/>
        <v>0.6532987620689333</v>
      </c>
      <c r="H18" s="345">
        <f>B18-E18</f>
        <v>-3462200</v>
      </c>
      <c r="I18" s="405">
        <f>(B18-E18)/E18</f>
        <v>-0.7426107846081249</v>
      </c>
      <c r="J18" s="381">
        <f>297760+58619+67016.95</f>
        <v>423395.95</v>
      </c>
      <c r="Y18" s="194"/>
      <c r="Z18" s="194"/>
      <c r="AC18" s="252" t="s">
        <v>401</v>
      </c>
      <c r="AD18" s="253">
        <f>AC7</f>
        <v>2485960705.42</v>
      </c>
      <c r="AF18" s="252" t="s">
        <v>401</v>
      </c>
      <c r="AG18" s="253">
        <f>B26-B19</f>
        <v>2485960705.42</v>
      </c>
    </row>
    <row r="19" spans="1:33" s="193" customFormat="1" ht="12.75" customHeight="1" hidden="1" thickBot="1">
      <c r="A19" s="309" t="s">
        <v>394</v>
      </c>
      <c r="B19" s="404">
        <f>Resultado!N29</f>
        <v>0</v>
      </c>
      <c r="C19" s="404">
        <v>0</v>
      </c>
      <c r="D19" s="345">
        <f t="shared" si="0"/>
        <v>0</v>
      </c>
      <c r="E19" s="404">
        <v>0</v>
      </c>
      <c r="F19" s="404">
        <f t="shared" si="1"/>
        <v>0</v>
      </c>
      <c r="G19" s="407" t="s">
        <v>416</v>
      </c>
      <c r="H19" s="345">
        <f>B19-E19</f>
        <v>0</v>
      </c>
      <c r="I19" s="407" t="s">
        <v>416</v>
      </c>
      <c r="J19" s="381"/>
      <c r="Y19" s="194"/>
      <c r="Z19" s="194"/>
      <c r="AC19" s="252" t="s">
        <v>402</v>
      </c>
      <c r="AD19" s="253">
        <f>AC8</f>
        <v>2400269608.1255207</v>
      </c>
      <c r="AF19" s="252" t="s">
        <v>402</v>
      </c>
      <c r="AG19" s="253">
        <f>B259</f>
        <v>2400269608.1255207</v>
      </c>
    </row>
    <row r="20" spans="1:33" s="263" customFormat="1" ht="16.5" thickBot="1">
      <c r="A20" s="449" t="s">
        <v>586</v>
      </c>
      <c r="B20" s="408">
        <f>Resultado!N36+Resultado!N31+Resultado!N33+Resultado!N34+Resultado!N32</f>
        <v>383146.8</v>
      </c>
      <c r="C20" s="408">
        <v>10497522</v>
      </c>
      <c r="D20" s="345">
        <f t="shared" si="0"/>
        <v>71415925.40571427</v>
      </c>
      <c r="E20" s="408">
        <v>6000000</v>
      </c>
      <c r="F20" s="408">
        <f t="shared" si="1"/>
        <v>-71032778.60571428</v>
      </c>
      <c r="G20" s="405">
        <f t="shared" si="2"/>
        <v>-0.9946349949563303</v>
      </c>
      <c r="H20" s="409">
        <f>B20-E20</f>
        <v>-5616853.2</v>
      </c>
      <c r="I20" s="405">
        <f>(B20-E20)/E20</f>
        <v>-0.9361422</v>
      </c>
      <c r="J20" s="383">
        <f>72431.2+6412984.39+35169074.23+4800</f>
        <v>41659289.81999999</v>
      </c>
      <c r="Y20" s="264"/>
      <c r="Z20" s="264"/>
      <c r="AC20" s="265" t="s">
        <v>404</v>
      </c>
      <c r="AD20" s="266">
        <f>AD18-AD19</f>
        <v>85691097.29447937</v>
      </c>
      <c r="AF20" s="265" t="s">
        <v>404</v>
      </c>
      <c r="AG20" s="266">
        <f>AG18-AG19</f>
        <v>85691097.29447937</v>
      </c>
    </row>
    <row r="21" spans="1:33" s="263" customFormat="1" ht="16.5" thickBot="1">
      <c r="A21" s="346" t="s">
        <v>672</v>
      </c>
      <c r="B21" s="408">
        <f>Resultado!N35</f>
        <v>6000000</v>
      </c>
      <c r="C21" s="408">
        <v>3000000</v>
      </c>
      <c r="D21" s="345">
        <f t="shared" si="0"/>
        <v>4773942.051428571</v>
      </c>
      <c r="E21" s="408"/>
      <c r="F21" s="408">
        <f t="shared" si="1"/>
        <v>1226057.9485714287</v>
      </c>
      <c r="G21" s="405">
        <f t="shared" si="2"/>
        <v>0.2568229642009456</v>
      </c>
      <c r="H21" s="409"/>
      <c r="I21" s="405"/>
      <c r="J21" s="383">
        <v>2784799.53</v>
      </c>
      <c r="Y21" s="264"/>
      <c r="Z21" s="264"/>
      <c r="AC21" s="310"/>
      <c r="AD21" s="266"/>
      <c r="AF21" s="310"/>
      <c r="AG21" s="266"/>
    </row>
    <row r="22" spans="1:33" s="193" customFormat="1" ht="12.75" customHeight="1" hidden="1" thickBot="1">
      <c r="A22" s="346" t="s">
        <v>566</v>
      </c>
      <c r="B22" s="404">
        <f>Resultado!N32</f>
        <v>0</v>
      </c>
      <c r="C22" s="404">
        <v>0</v>
      </c>
      <c r="D22" s="345">
        <f t="shared" si="0"/>
        <v>0</v>
      </c>
      <c r="E22" s="404">
        <v>0</v>
      </c>
      <c r="F22" s="404">
        <f>B22-D22</f>
        <v>0</v>
      </c>
      <c r="G22" s="407" t="s">
        <v>416</v>
      </c>
      <c r="H22" s="345">
        <f>B22-E22</f>
        <v>0</v>
      </c>
      <c r="I22" s="407" t="s">
        <v>416</v>
      </c>
      <c r="J22" s="381"/>
      <c r="K22" s="308">
        <f>B12+B24</f>
        <v>2485960705.42</v>
      </c>
      <c r="Y22" s="194"/>
      <c r="Z22" s="194"/>
      <c r="AC22" s="252"/>
      <c r="AD22" s="253"/>
      <c r="AF22" s="252"/>
      <c r="AG22" s="253"/>
    </row>
    <row r="23" spans="1:26" s="193" customFormat="1" ht="12.75">
      <c r="A23" s="309" t="s">
        <v>570</v>
      </c>
      <c r="B23" s="404">
        <f>Resultado!N37</f>
        <v>700000000.0800003</v>
      </c>
      <c r="C23" s="404">
        <v>248790298.08</v>
      </c>
      <c r="D23" s="345">
        <f>(J23)</f>
        <v>57102899.88</v>
      </c>
      <c r="E23" s="404">
        <v>136441527</v>
      </c>
      <c r="F23" s="404">
        <f>B23-D23</f>
        <v>642897100.2000003</v>
      </c>
      <c r="G23" s="405">
        <f t="shared" si="2"/>
        <v>11.258571833497578</v>
      </c>
      <c r="H23" s="345">
        <f>B23-E23</f>
        <v>563558473.0800003</v>
      </c>
      <c r="I23" s="407" t="s">
        <v>416</v>
      </c>
      <c r="J23" s="381">
        <v>57102899.88</v>
      </c>
      <c r="Y23" s="194"/>
      <c r="Z23" s="194"/>
    </row>
    <row r="24" spans="1:26" s="226" customFormat="1" ht="12.75">
      <c r="A24" s="450" t="s">
        <v>579</v>
      </c>
      <c r="B24" s="384">
        <f>SUM(B15:B23)</f>
        <v>735457065.0000002</v>
      </c>
      <c r="C24" s="384">
        <f>SUM(C15:C23)</f>
        <v>312521945.08000004</v>
      </c>
      <c r="D24" s="384">
        <f>SUM(D15:D23)</f>
        <v>142519905.90857142</v>
      </c>
      <c r="E24" s="384"/>
      <c r="F24" s="410">
        <f>B24-D24</f>
        <v>592937159.0914288</v>
      </c>
      <c r="G24" s="406">
        <f t="shared" si="2"/>
        <v>4.160381353828612</v>
      </c>
      <c r="H24" s="303"/>
      <c r="I24" s="411"/>
      <c r="J24" s="384">
        <f>SUM(J15:J23)</f>
        <v>106929486.72999999</v>
      </c>
      <c r="Y24" s="227"/>
      <c r="Z24" s="227"/>
    </row>
    <row r="25" spans="1:27" s="22" customFormat="1" ht="12.75">
      <c r="A25" s="346"/>
      <c r="B25" s="345"/>
      <c r="C25" s="345"/>
      <c r="D25" s="345"/>
      <c r="E25" s="345"/>
      <c r="F25" s="345"/>
      <c r="G25" s="403"/>
      <c r="H25" s="345"/>
      <c r="I25" s="403"/>
      <c r="J25" s="380"/>
      <c r="Y25" s="133">
        <f>B26-B19</f>
        <v>2485960705.42</v>
      </c>
      <c r="Z25" s="133" t="e">
        <f>Y25-#REF!</f>
        <v>#REF!</v>
      </c>
      <c r="AA25" s="146" t="e">
        <f>(Y25-#REF!)/#REF!</f>
        <v>#REF!</v>
      </c>
    </row>
    <row r="26" spans="1:26" s="241" customFormat="1" ht="22.5" customHeight="1">
      <c r="A26" s="451" t="s">
        <v>23</v>
      </c>
      <c r="B26" s="385">
        <f>B24+B12</f>
        <v>2485960705.42</v>
      </c>
      <c r="C26" s="385">
        <f>C24+C12</f>
        <v>2006942168.08</v>
      </c>
      <c r="D26" s="385">
        <f>D24+D12</f>
        <v>1848319816.7357144</v>
      </c>
      <c r="E26" s="385">
        <f>SUM(E10:E23)</f>
        <v>1579009537.27</v>
      </c>
      <c r="F26" s="385">
        <f>B26-D26</f>
        <v>637640888.6842856</v>
      </c>
      <c r="G26" s="412">
        <f>(B26-D26)/D26</f>
        <v>0.34498406764388434</v>
      </c>
      <c r="H26" s="357">
        <f>B26-E26</f>
        <v>906951168.1500001</v>
      </c>
      <c r="I26" s="412">
        <f>(B26-E26)/E26</f>
        <v>0.5743797910923686</v>
      </c>
      <c r="J26" s="385">
        <f>J24+J12</f>
        <v>1228121773.45</v>
      </c>
      <c r="Y26" s="242">
        <f>Resultado!N39</f>
        <v>2485960705.42</v>
      </c>
      <c r="Z26" s="242">
        <f>Y26-B26</f>
        <v>0</v>
      </c>
    </row>
    <row r="27" spans="1:26" s="22" customFormat="1" ht="8.25" customHeight="1">
      <c r="A27" s="502"/>
      <c r="B27" s="503"/>
      <c r="C27" s="503"/>
      <c r="D27" s="503"/>
      <c r="E27" s="503"/>
      <c r="F27" s="503"/>
      <c r="G27" s="504"/>
      <c r="H27" s="503"/>
      <c r="I27" s="505"/>
      <c r="J27" s="506"/>
      <c r="Y27" s="133"/>
      <c r="Z27" s="133"/>
    </row>
    <row r="28" spans="1:26" s="22" customFormat="1" ht="12.75">
      <c r="A28" s="512" t="s">
        <v>14</v>
      </c>
      <c r="B28" s="513"/>
      <c r="C28" s="513"/>
      <c r="D28" s="513"/>
      <c r="E28" s="513"/>
      <c r="F28" s="513"/>
      <c r="G28" s="514"/>
      <c r="H28" s="513"/>
      <c r="I28" s="515"/>
      <c r="J28" s="516"/>
      <c r="Y28" s="133"/>
      <c r="Z28" s="133"/>
    </row>
    <row r="29" spans="1:26" s="22" customFormat="1" ht="9.75" customHeight="1">
      <c r="A29" s="507"/>
      <c r="B29" s="508"/>
      <c r="C29" s="508"/>
      <c r="D29" s="508"/>
      <c r="E29" s="508"/>
      <c r="F29" s="508"/>
      <c r="G29" s="509"/>
      <c r="H29" s="508"/>
      <c r="I29" s="510"/>
      <c r="J29" s="511"/>
      <c r="Y29" s="133"/>
      <c r="Z29" s="133"/>
    </row>
    <row r="30" spans="1:29" s="241" customFormat="1" ht="22.5" customHeight="1">
      <c r="A30" s="451" t="s">
        <v>502</v>
      </c>
      <c r="B30" s="385">
        <f>B31+B42+B51+B61</f>
        <v>1171123635.344</v>
      </c>
      <c r="C30" s="385">
        <f>C31+C42+C51+C61</f>
        <v>895367915</v>
      </c>
      <c r="D30" s="385">
        <f>D31+D42+D51+D61</f>
        <v>1057856790.8771429</v>
      </c>
      <c r="E30" s="385" t="e">
        <f>E32+E36+E42+E46+#REF!+E49+#REF!+#REF!+#REF!</f>
        <v>#REF!</v>
      </c>
      <c r="F30" s="385">
        <f aca="true" t="shared" si="3" ref="F30:F53">B30-D30</f>
        <v>113266844.4668572</v>
      </c>
      <c r="G30" s="412">
        <f>(B30-D30)/D30</f>
        <v>0.10707200203624892</v>
      </c>
      <c r="H30" s="357" t="e">
        <f>B30-E30</f>
        <v>#REF!</v>
      </c>
      <c r="I30" s="412" t="e">
        <f>(B30-E30)/E30</f>
        <v>#REF!</v>
      </c>
      <c r="J30" s="385">
        <f>J31+J42+J51+J61</f>
        <v>618014863.81</v>
      </c>
      <c r="K30" s="304">
        <f>B30-Resultado!N43</f>
        <v>0</v>
      </c>
      <c r="Y30" s="242">
        <f>Flujo!N25</f>
        <v>1171123635.344</v>
      </c>
      <c r="Z30" s="242">
        <f>Y30-B30</f>
        <v>0</v>
      </c>
      <c r="AA30" s="242" t="e">
        <f>#REF!</f>
        <v>#REF!</v>
      </c>
      <c r="AB30" s="242">
        <f>'[3]Ejecución Indotel'!$BP$28</f>
        <v>424907193.36999995</v>
      </c>
      <c r="AC30" s="242" t="e">
        <f>AB30-AA30</f>
        <v>#REF!</v>
      </c>
    </row>
    <row r="31" spans="1:29" s="291" customFormat="1" ht="22.5" customHeight="1">
      <c r="A31" s="452" t="s">
        <v>504</v>
      </c>
      <c r="B31" s="386">
        <f>B32+B37+B38+B39+B40+B41</f>
        <v>886930014.528</v>
      </c>
      <c r="C31" s="386">
        <f>C32+C37+C38+C39+C40+C41</f>
        <v>707288226</v>
      </c>
      <c r="D31" s="386">
        <f>D32+D37+D38+D39+D40+D41</f>
        <v>802384853.4685714</v>
      </c>
      <c r="E31" s="386"/>
      <c r="F31" s="413">
        <f t="shared" si="3"/>
        <v>84545161.05942857</v>
      </c>
      <c r="G31" s="414">
        <f>(B31-D31)/D31</f>
        <v>0.10536734422883784</v>
      </c>
      <c r="H31" s="386"/>
      <c r="I31" s="414"/>
      <c r="J31" s="386">
        <f>J32+J37+J38+J39+J40+J41</f>
        <v>462811213.79</v>
      </c>
      <c r="Y31" s="292"/>
      <c r="Z31" s="292"/>
      <c r="AA31" s="292"/>
      <c r="AB31" s="292"/>
      <c r="AC31" s="292"/>
    </row>
    <row r="32" spans="1:28" s="11" customFormat="1" ht="12.75">
      <c r="A32" s="301" t="s">
        <v>503</v>
      </c>
      <c r="B32" s="303">
        <f>SUM(B33:B35)</f>
        <v>709500000.48</v>
      </c>
      <c r="C32" s="303">
        <f>SUM(C33:C35)</f>
        <v>530479296</v>
      </c>
      <c r="D32" s="303">
        <f>SUM(D33:D35)</f>
        <v>657449467.8</v>
      </c>
      <c r="E32" s="303">
        <v>409388928.24</v>
      </c>
      <c r="F32" s="303">
        <f t="shared" si="3"/>
        <v>52050532.68000007</v>
      </c>
      <c r="G32" s="406">
        <f>(B32-D32)/D32</f>
        <v>0.07917039290361727</v>
      </c>
      <c r="H32" s="303">
        <f aca="true" t="shared" si="4" ref="H32:H37">B32-E32</f>
        <v>300111072.24</v>
      </c>
      <c r="I32" s="415">
        <f aca="true" t="shared" si="5" ref="I32:I37">(B32-E32)/E32</f>
        <v>0.7330708075819359</v>
      </c>
      <c r="J32" s="303">
        <f>SUM(J33:J35)</f>
        <v>378265572.15</v>
      </c>
      <c r="Y32" s="145"/>
      <c r="Z32" s="145" t="e">
        <f>B11+#REF!+B20</f>
        <v>#REF!</v>
      </c>
      <c r="AA32" s="88">
        <f>B287+B318</f>
        <v>66766129.279999994</v>
      </c>
      <c r="AB32" s="177" t="e">
        <f>AA32-Z32</f>
        <v>#REF!</v>
      </c>
    </row>
    <row r="33" spans="1:26" s="22" customFormat="1" ht="12.75" customHeight="1">
      <c r="A33" s="309" t="s">
        <v>36</v>
      </c>
      <c r="B33" s="163">
        <f>Resultado!N46</f>
        <v>686400000.48</v>
      </c>
      <c r="C33" s="404">
        <v>511800000</v>
      </c>
      <c r="D33" s="404">
        <f>J33+(55836779.13*5)</f>
        <v>657449467.8</v>
      </c>
      <c r="E33" s="404">
        <v>390488928</v>
      </c>
      <c r="F33" s="404">
        <f t="shared" si="3"/>
        <v>28950532.680000067</v>
      </c>
      <c r="G33" s="405">
        <f>(B33-D33)/D33</f>
        <v>0.044034612693316516</v>
      </c>
      <c r="H33" s="345">
        <f t="shared" si="4"/>
        <v>295911072.48</v>
      </c>
      <c r="I33" s="405">
        <f t="shared" si="5"/>
        <v>0.757796319592447</v>
      </c>
      <c r="J33" s="380">
        <v>378265572.15</v>
      </c>
      <c r="Y33" s="133" t="e">
        <f>B30-Resultado!N43-#REF!-#REF!</f>
        <v>#REF!</v>
      </c>
      <c r="Z33" s="133"/>
    </row>
    <row r="34" spans="1:26" s="22" customFormat="1" ht="14.25" customHeight="1">
      <c r="A34" s="309" t="s">
        <v>225</v>
      </c>
      <c r="B34" s="163">
        <f>Resultado!N68</f>
        <v>23100000</v>
      </c>
      <c r="C34" s="404">
        <v>18679296</v>
      </c>
      <c r="D34" s="404">
        <v>0</v>
      </c>
      <c r="E34" s="404">
        <v>18900000.240000002</v>
      </c>
      <c r="F34" s="404">
        <f t="shared" si="3"/>
        <v>23100000</v>
      </c>
      <c r="G34" s="407" t="s">
        <v>416</v>
      </c>
      <c r="H34" s="345">
        <f t="shared" si="4"/>
        <v>4199999.759999998</v>
      </c>
      <c r="I34" s="405">
        <f t="shared" si="5"/>
        <v>0.2222222067019401</v>
      </c>
      <c r="J34" s="380"/>
      <c r="Y34" s="133"/>
      <c r="Z34" s="133"/>
    </row>
    <row r="35" spans="1:26" s="22" customFormat="1" ht="12.75" customHeight="1" hidden="1">
      <c r="A35" s="309" t="s">
        <v>261</v>
      </c>
      <c r="B35" s="404">
        <f>Resultado!N119</f>
        <v>0</v>
      </c>
      <c r="C35" s="404">
        <v>0</v>
      </c>
      <c r="D35" s="404"/>
      <c r="E35" s="404">
        <v>0</v>
      </c>
      <c r="F35" s="404">
        <f t="shared" si="3"/>
        <v>0</v>
      </c>
      <c r="G35" s="407" t="s">
        <v>416</v>
      </c>
      <c r="H35" s="345">
        <f t="shared" si="4"/>
        <v>0</v>
      </c>
      <c r="I35" s="405" t="e">
        <f t="shared" si="5"/>
        <v>#DIV/0!</v>
      </c>
      <c r="J35" s="380"/>
      <c r="Y35" s="133"/>
      <c r="Z35" s="133"/>
    </row>
    <row r="36" spans="1:26" s="22" customFormat="1" ht="12.75" hidden="1">
      <c r="A36" s="450" t="s">
        <v>208</v>
      </c>
      <c r="B36" s="384">
        <f>Resultado!N118</f>
        <v>0</v>
      </c>
      <c r="C36" s="384">
        <v>0</v>
      </c>
      <c r="D36" s="384"/>
      <c r="E36" s="384">
        <v>0</v>
      </c>
      <c r="F36" s="384">
        <f t="shared" si="3"/>
        <v>0</v>
      </c>
      <c r="G36" s="407" t="s">
        <v>416</v>
      </c>
      <c r="H36" s="345">
        <f t="shared" si="4"/>
        <v>0</v>
      </c>
      <c r="I36" s="406" t="e">
        <f t="shared" si="5"/>
        <v>#DIV/0!</v>
      </c>
      <c r="J36" s="380"/>
      <c r="Y36" s="133"/>
      <c r="Z36" s="133"/>
    </row>
    <row r="37" spans="1:26" s="22" customFormat="1" ht="12.75">
      <c r="A37" s="309" t="s">
        <v>167</v>
      </c>
      <c r="B37" s="404">
        <f>Resultado!N141</f>
        <v>43020000</v>
      </c>
      <c r="C37" s="404">
        <v>77039821</v>
      </c>
      <c r="D37" s="345">
        <f>(J37/7)*12</f>
        <v>40954285.71428572</v>
      </c>
      <c r="E37" s="404">
        <v>15960000</v>
      </c>
      <c r="F37" s="404">
        <f t="shared" si="3"/>
        <v>2065714.2857142836</v>
      </c>
      <c r="G37" s="405">
        <f aca="true" t="shared" si="6" ref="G37:G43">(B37-D37)/D37</f>
        <v>0.05043951444118873</v>
      </c>
      <c r="H37" s="345">
        <f t="shared" si="4"/>
        <v>27060000</v>
      </c>
      <c r="I37" s="405">
        <f t="shared" si="5"/>
        <v>1.6954887218045114</v>
      </c>
      <c r="J37" s="380">
        <v>23890000</v>
      </c>
      <c r="Y37" s="133"/>
      <c r="Z37" s="133"/>
    </row>
    <row r="38" spans="1:26" s="22" customFormat="1" ht="12.75" hidden="1">
      <c r="A38" s="309" t="s">
        <v>94</v>
      </c>
      <c r="B38" s="404">
        <f>Resultado!N160</f>
        <v>0</v>
      </c>
      <c r="C38" s="404"/>
      <c r="D38" s="345">
        <f>(J38/7)*12</f>
        <v>0</v>
      </c>
      <c r="E38" s="404"/>
      <c r="F38" s="404">
        <f t="shared" si="3"/>
        <v>0</v>
      </c>
      <c r="G38" s="407" t="s">
        <v>416</v>
      </c>
      <c r="H38" s="345"/>
      <c r="I38" s="405"/>
      <c r="J38" s="380"/>
      <c r="Y38" s="133"/>
      <c r="Z38" s="133"/>
    </row>
    <row r="39" spans="1:26" s="22" customFormat="1" ht="12.75">
      <c r="A39" s="309" t="s">
        <v>96</v>
      </c>
      <c r="B39" s="416">
        <f>Resultado!N161</f>
        <v>70950000.048</v>
      </c>
      <c r="C39" s="416">
        <v>53047930</v>
      </c>
      <c r="D39" s="345">
        <f>(J39/7)*12</f>
        <v>61044871.90285714</v>
      </c>
      <c r="E39" s="416">
        <v>40928530.524</v>
      </c>
      <c r="F39" s="404">
        <f t="shared" si="3"/>
        <v>9905128.145142853</v>
      </c>
      <c r="G39" s="405">
        <f t="shared" si="6"/>
        <v>0.1622597908126539</v>
      </c>
      <c r="H39" s="345">
        <f aca="true" t="shared" si="7" ref="H39:H49">B39-E39</f>
        <v>30021469.523999996</v>
      </c>
      <c r="I39" s="405">
        <f aca="true" t="shared" si="8" ref="I39:I49">(B39-E39)/E39</f>
        <v>0.733509587068995</v>
      </c>
      <c r="J39" s="380">
        <v>35609508.61</v>
      </c>
      <c r="K39" s="22">
        <f>B39/12</f>
        <v>5912500.004</v>
      </c>
      <c r="L39" s="22">
        <f>K39*6</f>
        <v>35475000.024</v>
      </c>
      <c r="Y39" s="133"/>
      <c r="Z39" s="133"/>
    </row>
    <row r="40" spans="1:26" s="22" customFormat="1" ht="12.75">
      <c r="A40" s="309" t="s">
        <v>97</v>
      </c>
      <c r="B40" s="416">
        <f>Resultado!N198</f>
        <v>42175013.03999999</v>
      </c>
      <c r="C40" s="416">
        <v>30806800</v>
      </c>
      <c r="D40" s="345">
        <f>(J40/7)*12</f>
        <v>17518120.251428574</v>
      </c>
      <c r="E40" s="416">
        <v>25475066.099999998</v>
      </c>
      <c r="F40" s="404">
        <f t="shared" si="3"/>
        <v>24656892.788571417</v>
      </c>
      <c r="G40" s="405">
        <f t="shared" si="6"/>
        <v>1.4075079080793893</v>
      </c>
      <c r="H40" s="345">
        <f t="shared" si="7"/>
        <v>16699946.939999994</v>
      </c>
      <c r="I40" s="405">
        <f t="shared" si="8"/>
        <v>0.655540867860594</v>
      </c>
      <c r="J40" s="380">
        <v>10218903.48</v>
      </c>
      <c r="Y40" s="133"/>
      <c r="Z40" s="133"/>
    </row>
    <row r="41" spans="1:26" s="22" customFormat="1" ht="12.75">
      <c r="A41" s="309" t="s">
        <v>98</v>
      </c>
      <c r="B41" s="404">
        <f>Resultado!N180</f>
        <v>21285000.96</v>
      </c>
      <c r="C41" s="404">
        <v>15914379</v>
      </c>
      <c r="D41" s="345">
        <f>(J41/7)*12</f>
        <v>25418107.799999997</v>
      </c>
      <c r="E41" s="404">
        <v>8878845.606</v>
      </c>
      <c r="F41" s="404">
        <f t="shared" si="3"/>
        <v>-4133106.839999996</v>
      </c>
      <c r="G41" s="405">
        <f t="shared" si="6"/>
        <v>-0.16260481985995812</v>
      </c>
      <c r="H41" s="345">
        <f t="shared" si="7"/>
        <v>12406155.354</v>
      </c>
      <c r="I41" s="405">
        <f t="shared" si="8"/>
        <v>1.3972712112052463</v>
      </c>
      <c r="J41" s="380">
        <v>14827229.55</v>
      </c>
      <c r="Y41" s="133"/>
      <c r="Z41" s="133"/>
    </row>
    <row r="42" spans="1:26" s="11" customFormat="1" ht="12.75">
      <c r="A42" s="450" t="s">
        <v>177</v>
      </c>
      <c r="B42" s="384">
        <f>B43+B44+B45+B46+B48+B50</f>
        <v>59715852</v>
      </c>
      <c r="C42" s="384">
        <f>C43+C44+C45+C46+C48+C50</f>
        <v>26942127</v>
      </c>
      <c r="D42" s="384">
        <f>D43+D44+D46+D48</f>
        <v>50831335.61142857</v>
      </c>
      <c r="E42" s="384">
        <v>2191339.9200000004</v>
      </c>
      <c r="F42" s="384">
        <f t="shared" si="3"/>
        <v>8884516.388571434</v>
      </c>
      <c r="G42" s="406">
        <f t="shared" si="6"/>
        <v>0.17478424050250413</v>
      </c>
      <c r="H42" s="303">
        <f t="shared" si="7"/>
        <v>57524512.08</v>
      </c>
      <c r="I42" s="406">
        <f t="shared" si="8"/>
        <v>26.250839294708776</v>
      </c>
      <c r="J42" s="384">
        <f>J43+J44+J45+J46+J47+J48+J50</f>
        <v>29979862.44</v>
      </c>
      <c r="Y42" s="145"/>
      <c r="Z42" s="145"/>
    </row>
    <row r="43" spans="1:26" s="11" customFormat="1" ht="12.75">
      <c r="A43" s="309" t="s">
        <v>885</v>
      </c>
      <c r="B43" s="404">
        <f>Resultado!N239</f>
        <v>1800000</v>
      </c>
      <c r="C43" s="404">
        <v>1500000</v>
      </c>
      <c r="D43" s="345">
        <f aca="true" t="shared" si="9" ref="D43:D50">(J43/7)*12</f>
        <v>1538711.04</v>
      </c>
      <c r="E43" s="404">
        <v>1541340</v>
      </c>
      <c r="F43" s="404">
        <f t="shared" si="3"/>
        <v>261288.95999999996</v>
      </c>
      <c r="G43" s="405">
        <f t="shared" si="6"/>
        <v>0.16981028484724459</v>
      </c>
      <c r="H43" s="345">
        <f t="shared" si="7"/>
        <v>258660</v>
      </c>
      <c r="I43" s="405">
        <f t="shared" si="8"/>
        <v>0.16781501810113278</v>
      </c>
      <c r="J43" s="87">
        <v>897581.44</v>
      </c>
      <c r="Y43" s="145"/>
      <c r="Z43" s="145"/>
    </row>
    <row r="44" spans="1:26" s="226" customFormat="1" ht="12.75" hidden="1">
      <c r="A44" s="309" t="s">
        <v>884</v>
      </c>
      <c r="B44" s="404">
        <f>Resultado!N259</f>
        <v>0</v>
      </c>
      <c r="C44" s="404">
        <v>0</v>
      </c>
      <c r="D44" s="345">
        <f t="shared" si="9"/>
        <v>0</v>
      </c>
      <c r="E44" s="404">
        <v>649999.9200000003</v>
      </c>
      <c r="F44" s="404">
        <f t="shared" si="3"/>
        <v>0</v>
      </c>
      <c r="G44" s="407" t="s">
        <v>416</v>
      </c>
      <c r="H44" s="345">
        <f t="shared" si="7"/>
        <v>-649999.9200000003</v>
      </c>
      <c r="I44" s="405">
        <f t="shared" si="8"/>
        <v>-1</v>
      </c>
      <c r="J44" s="382"/>
      <c r="Y44" s="227"/>
      <c r="Z44" s="227"/>
    </row>
    <row r="45" spans="1:26" s="11" customFormat="1" ht="12.75" hidden="1">
      <c r="A45" s="450" t="s">
        <v>922</v>
      </c>
      <c r="B45" s="404"/>
      <c r="C45" s="404">
        <v>3575001</v>
      </c>
      <c r="D45" s="345">
        <f t="shared" si="9"/>
        <v>0</v>
      </c>
      <c r="E45" s="404"/>
      <c r="F45" s="404">
        <f t="shared" si="3"/>
        <v>0</v>
      </c>
      <c r="G45" s="407" t="s">
        <v>416</v>
      </c>
      <c r="H45" s="345">
        <f t="shared" si="7"/>
        <v>0</v>
      </c>
      <c r="I45" s="405" t="e">
        <f t="shared" si="8"/>
        <v>#DIV/0!</v>
      </c>
      <c r="J45" s="87"/>
      <c r="Y45" s="145"/>
      <c r="Z45" s="145"/>
    </row>
    <row r="46" spans="1:26" s="11" customFormat="1" ht="12.75">
      <c r="A46" s="309" t="s">
        <v>883</v>
      </c>
      <c r="B46" s="163">
        <f>Resultado!N280</f>
        <v>50340000</v>
      </c>
      <c r="C46" s="404">
        <v>19467126</v>
      </c>
      <c r="D46" s="345">
        <f t="shared" si="9"/>
        <v>47305508.57142857</v>
      </c>
      <c r="E46" s="384">
        <v>18335769</v>
      </c>
      <c r="F46" s="384">
        <f t="shared" si="3"/>
        <v>3034491.428571433</v>
      </c>
      <c r="G46" s="406">
        <f aca="true" t="shared" si="10" ref="G46:G51">(B46-D46)/D46</f>
        <v>0.0641466822830903</v>
      </c>
      <c r="H46" s="345">
        <f t="shared" si="7"/>
        <v>32004231</v>
      </c>
      <c r="I46" s="406">
        <f t="shared" si="8"/>
        <v>1.7454534358498954</v>
      </c>
      <c r="J46" s="87">
        <v>27594880</v>
      </c>
      <c r="Y46" s="145"/>
      <c r="Z46" s="145"/>
    </row>
    <row r="47" spans="1:26" s="11" customFormat="1" ht="12.75" hidden="1">
      <c r="A47" s="309" t="s">
        <v>927</v>
      </c>
      <c r="B47" s="404"/>
      <c r="C47" s="404"/>
      <c r="D47" s="345">
        <f t="shared" si="9"/>
        <v>68571.42857142858</v>
      </c>
      <c r="E47" s="384"/>
      <c r="F47" s="404">
        <f>B47-D47</f>
        <v>-68571.42857142858</v>
      </c>
      <c r="G47" s="405">
        <f t="shared" si="10"/>
        <v>-1</v>
      </c>
      <c r="H47" s="345"/>
      <c r="I47" s="406"/>
      <c r="J47" s="87">
        <v>40000</v>
      </c>
      <c r="Y47" s="145"/>
      <c r="Z47" s="145"/>
    </row>
    <row r="48" spans="1:26" s="11" customFormat="1" ht="12.75">
      <c r="A48" s="346" t="s">
        <v>560</v>
      </c>
      <c r="B48" s="345">
        <f>Resultado!N218</f>
        <v>4116852</v>
      </c>
      <c r="C48" s="345">
        <v>2400000</v>
      </c>
      <c r="D48" s="345">
        <f t="shared" si="9"/>
        <v>1987116</v>
      </c>
      <c r="E48" s="303">
        <v>1642625.64</v>
      </c>
      <c r="F48" s="345">
        <f t="shared" si="3"/>
        <v>2129736</v>
      </c>
      <c r="G48" s="405">
        <f t="shared" si="10"/>
        <v>1.0717723575271902</v>
      </c>
      <c r="H48" s="345">
        <f t="shared" si="7"/>
        <v>2474226.3600000003</v>
      </c>
      <c r="I48" s="403">
        <f t="shared" si="8"/>
        <v>1.5062630825609178</v>
      </c>
      <c r="J48" s="87">
        <v>1159151</v>
      </c>
      <c r="Y48" s="133"/>
      <c r="Z48" s="133"/>
    </row>
    <row r="49" spans="1:26" s="11" customFormat="1" ht="12.75" hidden="1">
      <c r="A49" s="450" t="s">
        <v>16</v>
      </c>
      <c r="B49" s="384"/>
      <c r="C49" s="384"/>
      <c r="D49" s="345">
        <f t="shared" si="9"/>
        <v>0</v>
      </c>
      <c r="E49" s="384"/>
      <c r="F49" s="345">
        <f>B49-D49</f>
        <v>0</v>
      </c>
      <c r="G49" s="405" t="e">
        <f t="shared" si="10"/>
        <v>#DIV/0!</v>
      </c>
      <c r="H49" s="345">
        <f t="shared" si="7"/>
        <v>0</v>
      </c>
      <c r="I49" s="405" t="e">
        <f t="shared" si="8"/>
        <v>#DIV/0!</v>
      </c>
      <c r="J49" s="87"/>
      <c r="Y49" s="145"/>
      <c r="Z49" s="145"/>
    </row>
    <row r="50" spans="1:26" s="11" customFormat="1" ht="12.75">
      <c r="A50" s="309" t="s">
        <v>886</v>
      </c>
      <c r="B50" s="384">
        <f>Resultado!N299</f>
        <v>3459000</v>
      </c>
      <c r="C50" s="384"/>
      <c r="D50" s="345">
        <f t="shared" si="9"/>
        <v>494142.85714285716</v>
      </c>
      <c r="E50" s="384"/>
      <c r="F50" s="345">
        <f>B50-D50</f>
        <v>2964857.1428571427</v>
      </c>
      <c r="G50" s="405">
        <f t="shared" si="10"/>
        <v>5.999999999999999</v>
      </c>
      <c r="H50" s="345"/>
      <c r="I50" s="405"/>
      <c r="J50" s="87">
        <v>288250</v>
      </c>
      <c r="Y50" s="145"/>
      <c r="Z50" s="145"/>
    </row>
    <row r="51" spans="1:26" s="22" customFormat="1" ht="12.75">
      <c r="A51" s="450" t="s">
        <v>95</v>
      </c>
      <c r="B51" s="384">
        <f>SUM(B53:B60)</f>
        <v>126940083.05600004</v>
      </c>
      <c r="C51" s="384">
        <f>SUM(C53:C60)</f>
        <v>94196609</v>
      </c>
      <c r="D51" s="384">
        <f>SUM(D53:D60)</f>
        <v>115674809.91714285</v>
      </c>
      <c r="E51" s="384"/>
      <c r="F51" s="303">
        <f>B51-D51</f>
        <v>11265273.138857186</v>
      </c>
      <c r="G51" s="406">
        <f t="shared" si="10"/>
        <v>0.09738743592426416</v>
      </c>
      <c r="H51" s="345"/>
      <c r="I51" s="405"/>
      <c r="J51" s="384">
        <f>SUM(J52:J60)</f>
        <v>73327075.65</v>
      </c>
      <c r="Y51" s="133"/>
      <c r="Z51" s="133"/>
    </row>
    <row r="52" spans="1:26" s="22" customFormat="1" ht="12.75">
      <c r="A52" s="450" t="s">
        <v>928</v>
      </c>
      <c r="B52" s="384"/>
      <c r="C52" s="384"/>
      <c r="D52" s="384"/>
      <c r="E52" s="384"/>
      <c r="F52" s="345">
        <f>B52-D52</f>
        <v>0</v>
      </c>
      <c r="G52" s="407" t="s">
        <v>416</v>
      </c>
      <c r="H52" s="345"/>
      <c r="I52" s="405"/>
      <c r="J52" s="384">
        <v>3520</v>
      </c>
      <c r="Y52" s="133"/>
      <c r="Z52" s="133"/>
    </row>
    <row r="53" spans="1:26" s="22" customFormat="1" ht="12.75">
      <c r="A53" s="453" t="s">
        <v>494</v>
      </c>
      <c r="B53" s="163">
        <f>Resultado!N301</f>
        <v>44999999.96000001</v>
      </c>
      <c r="C53" s="345">
        <v>32000001</v>
      </c>
      <c r="D53" s="345">
        <f>(J53/7)*12</f>
        <v>47724273.68571428</v>
      </c>
      <c r="E53" s="345">
        <v>25410000.810000002</v>
      </c>
      <c r="F53" s="345">
        <f t="shared" si="3"/>
        <v>-2724273.7257142738</v>
      </c>
      <c r="G53" s="405">
        <f>(B53-D53)/D53</f>
        <v>-0.057083607885891285</v>
      </c>
      <c r="H53" s="345">
        <f>B53-E53</f>
        <v>19589999.150000006</v>
      </c>
      <c r="I53" s="403">
        <f>(B53-E53)/E53</f>
        <v>0.7709562583835275</v>
      </c>
      <c r="J53" s="380">
        <v>27839159.65</v>
      </c>
      <c r="Y53" s="133"/>
      <c r="Z53" s="133"/>
    </row>
    <row r="54" spans="1:26" s="22" customFormat="1" ht="12.75">
      <c r="A54" s="346" t="s">
        <v>523</v>
      </c>
      <c r="B54" s="345">
        <f>Resultado!N323</f>
        <v>288000</v>
      </c>
      <c r="C54" s="345">
        <v>0</v>
      </c>
      <c r="D54" s="345">
        <f>(J54/7)*12</f>
        <v>315428.5714285714</v>
      </c>
      <c r="E54" s="345"/>
      <c r="F54" s="345">
        <f aca="true" t="shared" si="11" ref="F54:F61">B54-D54</f>
        <v>-27428.57142857142</v>
      </c>
      <c r="G54" s="405">
        <f>(B54-D54)/D54</f>
        <v>-0.0869565217391304</v>
      </c>
      <c r="H54" s="345"/>
      <c r="I54" s="403"/>
      <c r="J54" s="380">
        <v>184000</v>
      </c>
      <c r="Y54" s="133"/>
      <c r="Z54" s="133"/>
    </row>
    <row r="55" spans="1:26" s="22" customFormat="1" ht="12.75" hidden="1">
      <c r="A55" s="309" t="s">
        <v>442</v>
      </c>
      <c r="B55" s="404">
        <f>Resultado!N326</f>
        <v>0</v>
      </c>
      <c r="C55" s="404">
        <v>0</v>
      </c>
      <c r="D55" s="345">
        <f>(J55/7)*12</f>
        <v>0</v>
      </c>
      <c r="E55" s="404">
        <v>9000000</v>
      </c>
      <c r="F55" s="345">
        <f t="shared" si="11"/>
        <v>0</v>
      </c>
      <c r="G55" s="407" t="s">
        <v>416</v>
      </c>
      <c r="H55" s="345">
        <f>B55-E55</f>
        <v>-9000000</v>
      </c>
      <c r="I55" s="405">
        <f>(B55-E55)/E55</f>
        <v>-1</v>
      </c>
      <c r="J55" s="380"/>
      <c r="Y55" s="133"/>
      <c r="Z55" s="133"/>
    </row>
    <row r="56" spans="1:26" s="22" customFormat="1" ht="12.75">
      <c r="A56" s="309" t="s">
        <v>488</v>
      </c>
      <c r="B56" s="404">
        <f>Resultado!N328</f>
        <v>58002083.08000003</v>
      </c>
      <c r="C56" s="404">
        <v>44206608</v>
      </c>
      <c r="D56" s="345">
        <f>(J56)</f>
        <v>45300396</v>
      </c>
      <c r="E56" s="404">
        <v>34115744.01999999</v>
      </c>
      <c r="F56" s="345">
        <f t="shared" si="11"/>
        <v>12701687.080000028</v>
      </c>
      <c r="G56" s="405">
        <f aca="true" t="shared" si="12" ref="G56:G61">(B56-D56)/D56</f>
        <v>0.28038799219326976</v>
      </c>
      <c r="H56" s="345">
        <f>B56-E56</f>
        <v>23886339.06000004</v>
      </c>
      <c r="I56" s="405">
        <f>(B56-E56)/E56</f>
        <v>0.7001558883193909</v>
      </c>
      <c r="J56" s="380">
        <v>45300396</v>
      </c>
      <c r="Y56" s="133"/>
      <c r="Z56" s="133"/>
    </row>
    <row r="57" spans="1:26" s="22" customFormat="1" ht="12.75">
      <c r="A57" s="309" t="s">
        <v>890</v>
      </c>
      <c r="B57" s="404">
        <f>Resultado!N346</f>
        <v>23650000.016000003</v>
      </c>
      <c r="C57" s="404">
        <v>17990000</v>
      </c>
      <c r="D57" s="345">
        <v>22334711.66</v>
      </c>
      <c r="E57" s="407" t="s">
        <v>416</v>
      </c>
      <c r="F57" s="345">
        <f t="shared" si="11"/>
        <v>1315288.3560000025</v>
      </c>
      <c r="G57" s="405">
        <f t="shared" si="12"/>
        <v>0.05888987402311521</v>
      </c>
      <c r="H57" s="417" t="s">
        <v>416</v>
      </c>
      <c r="I57" s="407" t="s">
        <v>416</v>
      </c>
      <c r="J57" s="380">
        <v>0</v>
      </c>
      <c r="Y57" s="133"/>
      <c r="Z57" s="133"/>
    </row>
    <row r="58" spans="1:26" s="22" customFormat="1" ht="12.75" hidden="1">
      <c r="A58" s="309" t="s">
        <v>443</v>
      </c>
      <c r="B58" s="404">
        <f>Resultado!N368</f>
        <v>0</v>
      </c>
      <c r="C58" s="404">
        <v>0</v>
      </c>
      <c r="D58" s="404"/>
      <c r="E58" s="407" t="s">
        <v>416</v>
      </c>
      <c r="F58" s="345">
        <f t="shared" si="11"/>
        <v>0</v>
      </c>
      <c r="G58" s="405" t="e">
        <f t="shared" si="12"/>
        <v>#DIV/0!</v>
      </c>
      <c r="H58" s="417" t="s">
        <v>416</v>
      </c>
      <c r="I58" s="407" t="s">
        <v>416</v>
      </c>
      <c r="J58" s="380"/>
      <c r="Y58" s="133"/>
      <c r="Z58" s="133"/>
    </row>
    <row r="59" spans="1:26" s="22" customFormat="1" ht="12.75" hidden="1">
      <c r="A59" s="309" t="s">
        <v>366</v>
      </c>
      <c r="B59" s="404">
        <f>Resultado!N369</f>
        <v>0</v>
      </c>
      <c r="C59" s="404">
        <v>0</v>
      </c>
      <c r="D59" s="404"/>
      <c r="E59" s="407" t="s">
        <v>416</v>
      </c>
      <c r="F59" s="345">
        <f t="shared" si="11"/>
        <v>0</v>
      </c>
      <c r="G59" s="405" t="e">
        <f t="shared" si="12"/>
        <v>#DIV/0!</v>
      </c>
      <c r="H59" s="417" t="s">
        <v>416</v>
      </c>
      <c r="I59" s="407" t="s">
        <v>416</v>
      </c>
      <c r="J59" s="380"/>
      <c r="Y59" s="133"/>
      <c r="Z59" s="133"/>
    </row>
    <row r="60" spans="1:26" s="22" customFormat="1" ht="12.75" hidden="1">
      <c r="A60" s="309" t="s">
        <v>367</v>
      </c>
      <c r="B60" s="404">
        <f>Resultado!N370</f>
        <v>0</v>
      </c>
      <c r="C60" s="404">
        <v>0</v>
      </c>
      <c r="D60" s="418">
        <v>0</v>
      </c>
      <c r="E60" s="407" t="s">
        <v>416</v>
      </c>
      <c r="F60" s="345">
        <f t="shared" si="11"/>
        <v>0</v>
      </c>
      <c r="G60" s="405" t="e">
        <f t="shared" si="12"/>
        <v>#DIV/0!</v>
      </c>
      <c r="H60" s="417" t="s">
        <v>416</v>
      </c>
      <c r="I60" s="407" t="s">
        <v>416</v>
      </c>
      <c r="J60" s="380"/>
      <c r="Y60" s="133"/>
      <c r="Z60" s="133"/>
    </row>
    <row r="61" spans="1:26" s="11" customFormat="1" ht="12.75">
      <c r="A61" s="301" t="s">
        <v>197</v>
      </c>
      <c r="B61" s="303">
        <f>Resultado!N371</f>
        <v>97537685.76</v>
      </c>
      <c r="C61" s="303">
        <v>66940953</v>
      </c>
      <c r="D61" s="345">
        <f>(J61/7)*12</f>
        <v>88965791.88</v>
      </c>
      <c r="E61" s="303">
        <v>48048510.23880005</v>
      </c>
      <c r="F61" s="303">
        <f t="shared" si="11"/>
        <v>8571893.88000001</v>
      </c>
      <c r="G61" s="406">
        <f t="shared" si="12"/>
        <v>0.09635044772671798</v>
      </c>
      <c r="H61" s="303">
        <f>B61-E61</f>
        <v>49489175.52119996</v>
      </c>
      <c r="I61" s="415">
        <f>(B61-E61)/E61</f>
        <v>1.0299835577677607</v>
      </c>
      <c r="J61" s="87">
        <v>51896711.93</v>
      </c>
      <c r="Y61" s="133"/>
      <c r="Z61" s="133"/>
    </row>
    <row r="62" spans="1:26" s="22" customFormat="1" ht="12.75" hidden="1">
      <c r="A62" s="309"/>
      <c r="B62" s="404"/>
      <c r="C62" s="404"/>
      <c r="D62" s="418"/>
      <c r="E62" s="407"/>
      <c r="F62" s="404"/>
      <c r="G62" s="407"/>
      <c r="H62" s="417"/>
      <c r="I62" s="407"/>
      <c r="J62" s="380"/>
      <c r="Y62" s="133"/>
      <c r="Z62" s="133"/>
    </row>
    <row r="63" spans="1:26" s="22" customFormat="1" ht="12.75">
      <c r="A63" s="346"/>
      <c r="B63" s="345"/>
      <c r="C63" s="345"/>
      <c r="D63" s="345"/>
      <c r="E63" s="345"/>
      <c r="F63" s="345"/>
      <c r="G63" s="405"/>
      <c r="H63" s="345"/>
      <c r="I63" s="403"/>
      <c r="J63" s="380"/>
      <c r="Y63" s="133"/>
      <c r="Z63" s="133"/>
    </row>
    <row r="64" spans="1:29" s="241" customFormat="1" ht="22.5" customHeight="1">
      <c r="A64" s="451" t="s">
        <v>505</v>
      </c>
      <c r="B64" s="385">
        <f>B65+B71+B76+B79+B84+B91+B101+B122+B177+B180</f>
        <v>443517966.73152</v>
      </c>
      <c r="C64" s="385">
        <f>C65+C71+C76+C79+C84+C91+C101+C122+C177+C180</f>
        <v>421150307.08</v>
      </c>
      <c r="D64" s="385">
        <f>D65+D71+D76+D79+D84+D91+D101+D122+D177+D180</f>
        <v>441665268.69428575</v>
      </c>
      <c r="E64" s="385" t="e">
        <f>E65+#REF!+E71+E76+E79+E84+E91+E101+E109+E120+#REF!+E122+E178+E176+E181</f>
        <v>#REF!</v>
      </c>
      <c r="F64" s="357">
        <f aca="true" t="shared" si="13" ref="F64:F100">B64-D64</f>
        <v>1852698.0372342467</v>
      </c>
      <c r="G64" s="412">
        <f aca="true" t="shared" si="14" ref="G64:G82">(B64-D64)/D64</f>
        <v>0.004194801286303219</v>
      </c>
      <c r="H64" s="357" t="e">
        <f aca="true" t="shared" si="15" ref="H64:H99">B64-E64</f>
        <v>#REF!</v>
      </c>
      <c r="I64" s="412" t="e">
        <f aca="true" t="shared" si="16" ref="I64:I99">(B64-E64)/E64</f>
        <v>#REF!</v>
      </c>
      <c r="J64" s="385">
        <f>J65+J71+J76+J79+J84+J91+J101+J122+J177+J180</f>
        <v>257143828.27</v>
      </c>
      <c r="Y64" s="242">
        <f>Flujo!N26</f>
        <v>443517966.73152</v>
      </c>
      <c r="Z64" s="242">
        <f>Y64-B64</f>
        <v>0</v>
      </c>
      <c r="AA64" s="242" t="e">
        <f>#REF!</f>
        <v>#REF!</v>
      </c>
      <c r="AB64" s="242">
        <f>'[3]Ejecución Indotel'!$BP$306</f>
        <v>196379023.95</v>
      </c>
      <c r="AC64" s="242" t="e">
        <f>AB64-AA64</f>
        <v>#REF!</v>
      </c>
    </row>
    <row r="65" spans="1:26" s="11" customFormat="1" ht="12.75" customHeight="1">
      <c r="A65" s="301" t="s">
        <v>201</v>
      </c>
      <c r="B65" s="303">
        <f>B66+B67+B68+B69+B70</f>
        <v>35177360.37</v>
      </c>
      <c r="C65" s="303">
        <f>C66+C67+C68+C69+C70</f>
        <v>24462370</v>
      </c>
      <c r="D65" s="303">
        <f>D66+D67+D68+D69+D70</f>
        <v>30773083.251428567</v>
      </c>
      <c r="E65" s="303">
        <v>7179158.681191921</v>
      </c>
      <c r="F65" s="303">
        <f t="shared" si="13"/>
        <v>4404277.11857143</v>
      </c>
      <c r="G65" s="406">
        <f t="shared" si="14"/>
        <v>0.1431210867818054</v>
      </c>
      <c r="H65" s="303">
        <f t="shared" si="15"/>
        <v>27998201.688808076</v>
      </c>
      <c r="I65" s="415">
        <f t="shared" si="16"/>
        <v>3.8999279626118626</v>
      </c>
      <c r="J65" s="303">
        <f>J66+J67+J68+J69+J70</f>
        <v>17950965.229999997</v>
      </c>
      <c r="Y65" s="145"/>
      <c r="Z65" s="145"/>
    </row>
    <row r="66" spans="1:26" s="22" customFormat="1" ht="12.75">
      <c r="A66" s="346" t="s">
        <v>368</v>
      </c>
      <c r="B66" s="345">
        <f>Resultado!N378</f>
        <v>15600000</v>
      </c>
      <c r="C66" s="345">
        <v>6476170</v>
      </c>
      <c r="D66" s="345">
        <f>(J66/7)*12</f>
        <v>14421252.617142856</v>
      </c>
      <c r="E66" s="345">
        <v>3645158.6811919217</v>
      </c>
      <c r="F66" s="345">
        <f t="shared" si="13"/>
        <v>1178747.3828571439</v>
      </c>
      <c r="G66" s="405">
        <f t="shared" si="14"/>
        <v>0.08173682371085722</v>
      </c>
      <c r="H66" s="345">
        <f t="shared" si="15"/>
        <v>11954841.318808079</v>
      </c>
      <c r="I66" s="403">
        <f t="shared" si="16"/>
        <v>3.279649080982942</v>
      </c>
      <c r="J66" s="380">
        <v>8412397.36</v>
      </c>
      <c r="Y66" s="133" t="e">
        <f>B64-Resultado!N376-#REF!-#REF!</f>
        <v>#REF!</v>
      </c>
      <c r="Z66" s="133">
        <v>329943</v>
      </c>
    </row>
    <row r="67" spans="1:26" s="22" customFormat="1" ht="12.75">
      <c r="A67" s="453" t="s">
        <v>352</v>
      </c>
      <c r="B67" s="163">
        <f>Resultado!N404</f>
        <v>4700000.369999999</v>
      </c>
      <c r="C67" s="404">
        <v>3808200</v>
      </c>
      <c r="D67" s="345">
        <f>(J67/7)*12</f>
        <v>4187062.1828571428</v>
      </c>
      <c r="E67" s="404">
        <v>3384000</v>
      </c>
      <c r="F67" s="404">
        <f t="shared" si="13"/>
        <v>512938.1871428564</v>
      </c>
      <c r="G67" s="405">
        <f t="shared" si="14"/>
        <v>0.12250550976838866</v>
      </c>
      <c r="H67" s="345">
        <f t="shared" si="15"/>
        <v>1316000.3699999992</v>
      </c>
      <c r="I67" s="405">
        <f t="shared" si="16"/>
        <v>0.3888889982269501</v>
      </c>
      <c r="J67" s="380">
        <v>2442452.94</v>
      </c>
      <c r="Y67" s="133"/>
      <c r="Z67" s="133"/>
    </row>
    <row r="68" spans="1:26" s="22" customFormat="1" ht="12.75">
      <c r="A68" s="309" t="s">
        <v>369</v>
      </c>
      <c r="B68" s="404">
        <f>Resultado!N401</f>
        <v>1500000</v>
      </c>
      <c r="C68" s="404">
        <v>0</v>
      </c>
      <c r="D68" s="345">
        <f>(J68/7)*12</f>
        <v>1219536</v>
      </c>
      <c r="E68" s="404">
        <v>150000</v>
      </c>
      <c r="F68" s="404">
        <f t="shared" si="13"/>
        <v>280464</v>
      </c>
      <c r="G68" s="405">
        <f t="shared" si="14"/>
        <v>0.22997599086865825</v>
      </c>
      <c r="H68" s="345">
        <f t="shared" si="15"/>
        <v>1350000</v>
      </c>
      <c r="I68" s="405">
        <f t="shared" si="16"/>
        <v>9</v>
      </c>
      <c r="J68" s="380">
        <v>711396</v>
      </c>
      <c r="Y68" s="133"/>
      <c r="Z68" s="133"/>
    </row>
    <row r="69" spans="1:26" s="22" customFormat="1" ht="12.75">
      <c r="A69" s="309" t="s">
        <v>100</v>
      </c>
      <c r="B69" s="404">
        <f>Resultado!N411</f>
        <v>13271760</v>
      </c>
      <c r="C69" s="404">
        <v>14100000</v>
      </c>
      <c r="D69" s="345">
        <f>(J69/7)*12</f>
        <v>10882758.737142857</v>
      </c>
      <c r="E69" s="404">
        <v>13403568</v>
      </c>
      <c r="F69" s="404">
        <f t="shared" si="13"/>
        <v>2389001.262857143</v>
      </c>
      <c r="G69" s="405">
        <f t="shared" si="14"/>
        <v>0.21952165995405937</v>
      </c>
      <c r="H69" s="345">
        <f t="shared" si="15"/>
        <v>-131808</v>
      </c>
      <c r="I69" s="405">
        <f t="shared" si="16"/>
        <v>-0.00983379947787037</v>
      </c>
      <c r="J69" s="380">
        <v>6348275.93</v>
      </c>
      <c r="Y69" s="133"/>
      <c r="Z69" s="133"/>
    </row>
    <row r="70" spans="1:26" s="22" customFormat="1" ht="12.75">
      <c r="A70" s="309" t="s">
        <v>101</v>
      </c>
      <c r="B70" s="404">
        <f>Resultado!N416</f>
        <v>105600</v>
      </c>
      <c r="C70" s="404">
        <v>78000</v>
      </c>
      <c r="D70" s="345">
        <f>(J70/7)*12</f>
        <v>62473.71428571428</v>
      </c>
      <c r="E70" s="404">
        <v>78000</v>
      </c>
      <c r="F70" s="404">
        <f t="shared" si="13"/>
        <v>43126.28571428572</v>
      </c>
      <c r="G70" s="405">
        <f t="shared" si="14"/>
        <v>0.6903108964684577</v>
      </c>
      <c r="H70" s="345">
        <f t="shared" si="15"/>
        <v>27600</v>
      </c>
      <c r="I70" s="405">
        <f t="shared" si="16"/>
        <v>0.35384615384615387</v>
      </c>
      <c r="J70" s="380">
        <v>36443</v>
      </c>
      <c r="Y70" s="133"/>
      <c r="Z70" s="133"/>
    </row>
    <row r="71" spans="1:26" s="11" customFormat="1" ht="12.75">
      <c r="A71" s="450" t="s">
        <v>371</v>
      </c>
      <c r="B71" s="384">
        <f>SUM(B72:B74)</f>
        <v>83884000.19999999</v>
      </c>
      <c r="C71" s="384">
        <f>SUM(C72:C74)</f>
        <v>71436485</v>
      </c>
      <c r="D71" s="384">
        <f>SUM(D72:D74)</f>
        <v>75348308.86285713</v>
      </c>
      <c r="E71" s="384">
        <v>49329725.04</v>
      </c>
      <c r="F71" s="384">
        <f t="shared" si="13"/>
        <v>8535691.337142855</v>
      </c>
      <c r="G71" s="406">
        <f t="shared" si="14"/>
        <v>0.11328311764340758</v>
      </c>
      <c r="H71" s="303">
        <f t="shared" si="15"/>
        <v>34554275.15999999</v>
      </c>
      <c r="I71" s="406">
        <f t="shared" si="16"/>
        <v>0.7004757300386524</v>
      </c>
      <c r="J71" s="384">
        <f>SUM(J72:J74)</f>
        <v>43953180.169999994</v>
      </c>
      <c r="Y71" s="145"/>
      <c r="Z71" s="145"/>
    </row>
    <row r="72" spans="1:26" s="22" customFormat="1" ht="12.75">
      <c r="A72" s="309" t="s">
        <v>102</v>
      </c>
      <c r="B72" s="404">
        <f>Resultado!N422</f>
        <v>73240000.11999999</v>
      </c>
      <c r="C72" s="404">
        <v>9309025</v>
      </c>
      <c r="D72" s="345">
        <f>(J72/7)*12</f>
        <v>64806043.67999999</v>
      </c>
      <c r="E72" s="404">
        <v>12721125.04</v>
      </c>
      <c r="F72" s="404">
        <f t="shared" si="13"/>
        <v>8433956.439999998</v>
      </c>
      <c r="G72" s="405">
        <f t="shared" si="14"/>
        <v>0.13014151090051543</v>
      </c>
      <c r="H72" s="345">
        <f t="shared" si="15"/>
        <v>60518875.07999999</v>
      </c>
      <c r="I72" s="405">
        <f t="shared" si="16"/>
        <v>4.757352426747312</v>
      </c>
      <c r="J72" s="380">
        <v>37803525.48</v>
      </c>
      <c r="Y72" s="133"/>
      <c r="Z72" s="133"/>
    </row>
    <row r="73" spans="1:26" s="22" customFormat="1" ht="12.75">
      <c r="A73" s="309" t="s">
        <v>146</v>
      </c>
      <c r="B73" s="404">
        <f>Resultado!N432</f>
        <v>9644000</v>
      </c>
      <c r="C73" s="404">
        <v>5316900</v>
      </c>
      <c r="D73" s="345">
        <f>(J73/7)*12</f>
        <v>9316413.754285716</v>
      </c>
      <c r="E73" s="404">
        <v>5061100</v>
      </c>
      <c r="F73" s="404">
        <f t="shared" si="13"/>
        <v>327586.2457142845</v>
      </c>
      <c r="G73" s="405">
        <f t="shared" si="14"/>
        <v>0.03516226891099475</v>
      </c>
      <c r="H73" s="345">
        <f t="shared" si="15"/>
        <v>4582900</v>
      </c>
      <c r="I73" s="405">
        <f t="shared" si="16"/>
        <v>0.9055146114481042</v>
      </c>
      <c r="J73" s="380">
        <v>5434574.69</v>
      </c>
      <c r="Y73" s="133"/>
      <c r="Z73" s="133"/>
    </row>
    <row r="74" spans="1:26" s="22" customFormat="1" ht="12.75">
      <c r="A74" s="309" t="s">
        <v>372</v>
      </c>
      <c r="B74" s="404">
        <f>Resultado!N443</f>
        <v>1000000.0799999997</v>
      </c>
      <c r="C74" s="404">
        <v>56810560</v>
      </c>
      <c r="D74" s="345">
        <f>(J74/7)*12</f>
        <v>1225851.4285714286</v>
      </c>
      <c r="E74" s="404">
        <v>19299000</v>
      </c>
      <c r="F74" s="404">
        <f t="shared" si="13"/>
        <v>-225851.3485714289</v>
      </c>
      <c r="G74" s="405">
        <f t="shared" si="14"/>
        <v>-0.1842403926833364</v>
      </c>
      <c r="H74" s="345">
        <f t="shared" si="15"/>
        <v>-18298999.92</v>
      </c>
      <c r="I74" s="405">
        <f t="shared" si="16"/>
        <v>-0.9481838395771802</v>
      </c>
      <c r="J74" s="380">
        <v>715080</v>
      </c>
      <c r="Y74" s="133"/>
      <c r="Z74" s="133"/>
    </row>
    <row r="75" spans="1:26" s="22" customFormat="1" ht="12.75" customHeight="1" hidden="1">
      <c r="A75" s="309" t="s">
        <v>103</v>
      </c>
      <c r="B75" s="404"/>
      <c r="C75" s="404"/>
      <c r="D75" s="404"/>
      <c r="E75" s="404">
        <v>0</v>
      </c>
      <c r="F75" s="404">
        <f t="shared" si="13"/>
        <v>0</v>
      </c>
      <c r="G75" s="405" t="e">
        <f t="shared" si="14"/>
        <v>#DIV/0!</v>
      </c>
      <c r="H75" s="345">
        <f t="shared" si="15"/>
        <v>0</v>
      </c>
      <c r="I75" s="405" t="e">
        <f t="shared" si="16"/>
        <v>#DIV/0!</v>
      </c>
      <c r="J75" s="380"/>
      <c r="Y75" s="133"/>
      <c r="Z75" s="133"/>
    </row>
    <row r="76" spans="1:26" s="11" customFormat="1" ht="12.75">
      <c r="A76" s="450" t="s">
        <v>373</v>
      </c>
      <c r="B76" s="384">
        <f>SUM(B77:B78)</f>
        <v>18494814.63000001</v>
      </c>
      <c r="C76" s="384">
        <f>SUM(C77:C78)</f>
        <v>12438066</v>
      </c>
      <c r="D76" s="384">
        <f>SUM(D77:D78)</f>
        <v>16365089.57142857</v>
      </c>
      <c r="E76" s="384">
        <v>8842765.159999998</v>
      </c>
      <c r="F76" s="384">
        <f t="shared" si="13"/>
        <v>2129725.0585714392</v>
      </c>
      <c r="G76" s="406">
        <f t="shared" si="14"/>
        <v>0.13013830747921334</v>
      </c>
      <c r="H76" s="303">
        <f t="shared" si="15"/>
        <v>9652049.470000012</v>
      </c>
      <c r="I76" s="406">
        <f t="shared" si="16"/>
        <v>1.0915193715265434</v>
      </c>
      <c r="J76" s="384">
        <f>SUM(J77:J78)</f>
        <v>9546302.25</v>
      </c>
      <c r="Y76" s="133"/>
      <c r="Z76" s="133"/>
    </row>
    <row r="77" spans="1:26" s="22" customFormat="1" ht="12.75">
      <c r="A77" s="309" t="s">
        <v>39</v>
      </c>
      <c r="B77" s="404">
        <f>Resultado!N447</f>
        <v>8413000.680000003</v>
      </c>
      <c r="C77" s="404">
        <v>3490006</v>
      </c>
      <c r="D77" s="345">
        <f>(J77/7)*12</f>
        <v>3266524.6285714284</v>
      </c>
      <c r="E77" s="404">
        <v>2842765.16</v>
      </c>
      <c r="F77" s="404">
        <f t="shared" si="13"/>
        <v>5146476.051428575</v>
      </c>
      <c r="G77" s="405">
        <f t="shared" si="14"/>
        <v>1.575520357756898</v>
      </c>
      <c r="H77" s="345">
        <f t="shared" si="15"/>
        <v>5570235.520000003</v>
      </c>
      <c r="I77" s="405">
        <f t="shared" si="16"/>
        <v>1.9594427279388786</v>
      </c>
      <c r="J77" s="380">
        <v>1905472.7</v>
      </c>
      <c r="Y77" s="133"/>
      <c r="Z77" s="133"/>
    </row>
    <row r="78" spans="1:26" s="22" customFormat="1" ht="12.75">
      <c r="A78" s="309" t="s">
        <v>40</v>
      </c>
      <c r="B78" s="404">
        <f>Resultado!N489</f>
        <v>10081813.950000007</v>
      </c>
      <c r="C78" s="404">
        <v>8948060</v>
      </c>
      <c r="D78" s="345">
        <f>(J78/7)*12</f>
        <v>13098564.942857143</v>
      </c>
      <c r="E78" s="404">
        <v>5999999.999999998</v>
      </c>
      <c r="F78" s="404">
        <f t="shared" si="13"/>
        <v>-3016750.992857136</v>
      </c>
      <c r="G78" s="405">
        <f t="shared" si="14"/>
        <v>-0.2303115651231869</v>
      </c>
      <c r="H78" s="345">
        <f t="shared" si="15"/>
        <v>4081813.9500000086</v>
      </c>
      <c r="I78" s="405">
        <f t="shared" si="16"/>
        <v>0.6803023250000017</v>
      </c>
      <c r="J78" s="380">
        <v>7640829.55</v>
      </c>
      <c r="Y78" s="133"/>
      <c r="Z78" s="133"/>
    </row>
    <row r="79" spans="1:26" s="11" customFormat="1" ht="12.75">
      <c r="A79" s="450" t="s">
        <v>374</v>
      </c>
      <c r="B79" s="384">
        <f>SUM(B80:B83)</f>
        <v>7855431.96</v>
      </c>
      <c r="C79" s="384">
        <f>SUM(C80:C83)</f>
        <v>7805000.08</v>
      </c>
      <c r="D79" s="384">
        <f>SUM(D80:D83)</f>
        <v>9072151.354285715</v>
      </c>
      <c r="E79" s="384">
        <v>4190000.1599999997</v>
      </c>
      <c r="F79" s="384">
        <f t="shared" si="13"/>
        <v>-1216719.3942857152</v>
      </c>
      <c r="G79" s="406">
        <f t="shared" si="14"/>
        <v>-0.13411586147214496</v>
      </c>
      <c r="H79" s="303">
        <f t="shared" si="15"/>
        <v>3665431.8000000003</v>
      </c>
      <c r="I79" s="406">
        <f t="shared" si="16"/>
        <v>0.8748046921315632</v>
      </c>
      <c r="J79" s="384">
        <f>SUM(J80:J83)</f>
        <v>5292088.29</v>
      </c>
      <c r="M79" s="145">
        <f>100000*50.07</f>
        <v>5007000</v>
      </c>
      <c r="N79" s="145">
        <f>M79-Resultado!E515-Resultado!E516</f>
        <v>0</v>
      </c>
      <c r="Y79" s="145"/>
      <c r="Z79" s="145"/>
    </row>
    <row r="80" spans="1:26" s="22" customFormat="1" ht="12.75">
      <c r="A80" s="309" t="s">
        <v>157</v>
      </c>
      <c r="B80" s="404">
        <f>Resultado!N509</f>
        <v>7125891.96</v>
      </c>
      <c r="C80" s="404">
        <v>7600000</v>
      </c>
      <c r="D80" s="345">
        <f>(J80/7)*12</f>
        <v>8443423.011428572</v>
      </c>
      <c r="E80" s="404">
        <v>4000000.0799999996</v>
      </c>
      <c r="F80" s="404">
        <f t="shared" si="13"/>
        <v>-1317531.0514285723</v>
      </c>
      <c r="G80" s="405">
        <f t="shared" si="14"/>
        <v>-0.1560422887311499</v>
      </c>
      <c r="H80" s="345">
        <f t="shared" si="15"/>
        <v>3125891.8800000004</v>
      </c>
      <c r="I80" s="405">
        <f t="shared" si="16"/>
        <v>0.7814729543705411</v>
      </c>
      <c r="J80" s="380">
        <v>4925330.09</v>
      </c>
      <c r="Y80" s="133"/>
      <c r="Z80" s="133"/>
    </row>
    <row r="81" spans="1:26" s="22" customFormat="1" ht="12.75">
      <c r="A81" s="309" t="s">
        <v>230</v>
      </c>
      <c r="B81" s="404">
        <f>Resultado!N510</f>
        <v>720000</v>
      </c>
      <c r="C81" s="404">
        <v>60000</v>
      </c>
      <c r="D81" s="345">
        <f>(J81/7)*12</f>
        <v>623002.6285714286</v>
      </c>
      <c r="E81" s="404">
        <v>60000</v>
      </c>
      <c r="F81" s="404">
        <f t="shared" si="13"/>
        <v>96997.37142857141</v>
      </c>
      <c r="G81" s="405">
        <f t="shared" si="14"/>
        <v>0.15569335823027022</v>
      </c>
      <c r="H81" s="345">
        <f t="shared" si="15"/>
        <v>660000</v>
      </c>
      <c r="I81" s="405">
        <f t="shared" si="16"/>
        <v>11</v>
      </c>
      <c r="J81" s="380">
        <v>363418.2</v>
      </c>
      <c r="Y81" s="133"/>
      <c r="Z81" s="133"/>
    </row>
    <row r="82" spans="1:26" s="22" customFormat="1" ht="12.75">
      <c r="A82" s="309" t="s">
        <v>193</v>
      </c>
      <c r="B82" s="404">
        <f>Resultado!N512+Resultado!N513</f>
        <v>9540</v>
      </c>
      <c r="C82" s="404">
        <v>120000</v>
      </c>
      <c r="D82" s="345">
        <f>(J82/7)*12</f>
        <v>5725.714285714286</v>
      </c>
      <c r="E82" s="404">
        <v>105000</v>
      </c>
      <c r="F82" s="404">
        <f t="shared" si="13"/>
        <v>3814.2857142857138</v>
      </c>
      <c r="G82" s="405">
        <f t="shared" si="14"/>
        <v>0.6661676646706586</v>
      </c>
      <c r="H82" s="345">
        <f t="shared" si="15"/>
        <v>-95460</v>
      </c>
      <c r="I82" s="405">
        <f t="shared" si="16"/>
        <v>-0.9091428571428571</v>
      </c>
      <c r="J82" s="380">
        <v>3340</v>
      </c>
      <c r="Y82" s="145"/>
      <c r="Z82" s="145"/>
    </row>
    <row r="83" spans="1:26" s="22" customFormat="1" ht="12.75" hidden="1">
      <c r="A83" s="309" t="s">
        <v>375</v>
      </c>
      <c r="B83" s="404">
        <f>Resultado!N511</f>
        <v>0</v>
      </c>
      <c r="C83" s="404">
        <v>25000.08</v>
      </c>
      <c r="D83" s="345">
        <f>(J83/7)*12</f>
        <v>0</v>
      </c>
      <c r="E83" s="404">
        <v>25000</v>
      </c>
      <c r="F83" s="404">
        <f t="shared" si="13"/>
        <v>0</v>
      </c>
      <c r="G83" s="407" t="s">
        <v>416</v>
      </c>
      <c r="H83" s="345">
        <f t="shared" si="15"/>
        <v>-25000</v>
      </c>
      <c r="I83" s="405">
        <f t="shared" si="16"/>
        <v>-1</v>
      </c>
      <c r="J83" s="380"/>
      <c r="L83" s="167">
        <f>B85+B86</f>
        <v>60084004</v>
      </c>
      <c r="Y83" s="145"/>
      <c r="Z83" s="145"/>
    </row>
    <row r="84" spans="1:26" s="11" customFormat="1" ht="12.75">
      <c r="A84" s="450" t="s">
        <v>202</v>
      </c>
      <c r="B84" s="384">
        <f>SUM(B85:B90)</f>
        <v>64729904.04</v>
      </c>
      <c r="C84" s="384">
        <f>SUM(C85:C90)</f>
        <v>55423280</v>
      </c>
      <c r="D84" s="384">
        <f>SUM(D85:D90)</f>
        <v>43429123.64571428</v>
      </c>
      <c r="E84" s="384">
        <v>37768180</v>
      </c>
      <c r="F84" s="384">
        <f t="shared" si="13"/>
        <v>21300780.394285716</v>
      </c>
      <c r="G84" s="406">
        <f>(B84-D84)/D84</f>
        <v>0.4904722593081323</v>
      </c>
      <c r="H84" s="303">
        <f t="shared" si="15"/>
        <v>26961724.04</v>
      </c>
      <c r="I84" s="406">
        <f t="shared" si="16"/>
        <v>0.7138740611806023</v>
      </c>
      <c r="J84" s="384">
        <f>SUM(J85:J90)</f>
        <v>25333655.46</v>
      </c>
      <c r="L84" s="145">
        <f>(B85+B86)/50.07</f>
        <v>1200000.0798881566</v>
      </c>
      <c r="M84" s="145">
        <f>L84/12</f>
        <v>100000.00665734638</v>
      </c>
      <c r="N84" s="145">
        <f>M84-100000</f>
        <v>0.006657346384599805</v>
      </c>
      <c r="O84" s="145">
        <f>N84*50.07</f>
        <v>0.33333333347691224</v>
      </c>
      <c r="Y84" s="133"/>
      <c r="Z84" s="133"/>
    </row>
    <row r="85" spans="1:26" s="22" customFormat="1" ht="12.75">
      <c r="A85" s="309" t="s">
        <v>37</v>
      </c>
      <c r="B85" s="404">
        <f>Resultado!N515</f>
        <v>45584004</v>
      </c>
      <c r="C85" s="404">
        <v>47097480</v>
      </c>
      <c r="D85" s="345">
        <f aca="true" t="shared" si="17" ref="D85:D90">(J85/7)*12</f>
        <v>35460101.794285715</v>
      </c>
      <c r="E85" s="404">
        <v>26480180</v>
      </c>
      <c r="F85" s="404">
        <f t="shared" si="13"/>
        <v>10123902.205714285</v>
      </c>
      <c r="G85" s="405">
        <f>(B85-D85)/D85</f>
        <v>0.28550121667574346</v>
      </c>
      <c r="H85" s="345">
        <f t="shared" si="15"/>
        <v>19103824</v>
      </c>
      <c r="I85" s="405">
        <f t="shared" si="16"/>
        <v>0.721438600492897</v>
      </c>
      <c r="J85" s="380">
        <v>20685059.38</v>
      </c>
      <c r="Y85" s="133"/>
      <c r="Z85" s="133"/>
    </row>
    <row r="86" spans="1:26" s="22" customFormat="1" ht="12.75">
      <c r="A86" s="309" t="s">
        <v>38</v>
      </c>
      <c r="B86" s="404">
        <f>Resultado!N516</f>
        <v>14500000</v>
      </c>
      <c r="C86" s="404">
        <v>6080000</v>
      </c>
      <c r="D86" s="345">
        <f t="shared" si="17"/>
        <v>0</v>
      </c>
      <c r="E86" s="404">
        <v>9120000</v>
      </c>
      <c r="F86" s="404">
        <f t="shared" si="13"/>
        <v>14500000</v>
      </c>
      <c r="G86" s="407" t="s">
        <v>416</v>
      </c>
      <c r="H86" s="345">
        <f t="shared" si="15"/>
        <v>5380000</v>
      </c>
      <c r="I86" s="405">
        <f t="shared" si="16"/>
        <v>0.5899122807017544</v>
      </c>
      <c r="J86" s="380"/>
      <c r="Y86" s="133"/>
      <c r="Z86" s="133"/>
    </row>
    <row r="87" spans="1:26" s="22" customFormat="1" ht="12.75">
      <c r="A87" s="309" t="s">
        <v>891</v>
      </c>
      <c r="B87" s="404">
        <f>Resultado!N524</f>
        <v>1218500</v>
      </c>
      <c r="C87" s="404">
        <v>0</v>
      </c>
      <c r="D87" s="345">
        <f t="shared" si="17"/>
        <v>1607220.822857143</v>
      </c>
      <c r="E87" s="404">
        <v>0</v>
      </c>
      <c r="F87" s="404">
        <f t="shared" si="13"/>
        <v>-388720.8228571429</v>
      </c>
      <c r="G87" s="405">
        <f>(B87-D87)/D87</f>
        <v>-0.24185900115835804</v>
      </c>
      <c r="H87" s="345">
        <f t="shared" si="15"/>
        <v>1218500</v>
      </c>
      <c r="I87" s="405" t="e">
        <f t="shared" si="16"/>
        <v>#DIV/0!</v>
      </c>
      <c r="J87" s="380">
        <v>937545.48</v>
      </c>
      <c r="Y87" s="133"/>
      <c r="Z87" s="133"/>
    </row>
    <row r="88" spans="1:26" s="22" customFormat="1" ht="12.75">
      <c r="A88" s="309" t="s">
        <v>892</v>
      </c>
      <c r="B88" s="404">
        <f>Resultado!N520</f>
        <v>1427400</v>
      </c>
      <c r="C88" s="404">
        <v>0</v>
      </c>
      <c r="D88" s="345">
        <f t="shared" si="17"/>
        <v>1427400.6342857142</v>
      </c>
      <c r="E88" s="404">
        <v>65000</v>
      </c>
      <c r="F88" s="404">
        <f t="shared" si="13"/>
        <v>-0.63428571424447</v>
      </c>
      <c r="G88" s="405">
        <f aca="true" t="shared" si="18" ref="G88:G96">(B88-D88)/D88</f>
        <v>-4.4436418130210025E-07</v>
      </c>
      <c r="H88" s="345">
        <f t="shared" si="15"/>
        <v>1362400</v>
      </c>
      <c r="I88" s="405">
        <f t="shared" si="16"/>
        <v>20.96</v>
      </c>
      <c r="J88" s="380">
        <v>832650.37</v>
      </c>
      <c r="Y88" s="133"/>
      <c r="Z88" s="133"/>
    </row>
    <row r="89" spans="1:26" s="22" customFormat="1" ht="12.75" hidden="1">
      <c r="A89" s="346" t="s">
        <v>620</v>
      </c>
      <c r="B89" s="404"/>
      <c r="C89" s="404"/>
      <c r="D89" s="345">
        <f t="shared" si="17"/>
        <v>0</v>
      </c>
      <c r="E89" s="404"/>
      <c r="F89" s="404"/>
      <c r="G89" s="405"/>
      <c r="H89" s="345"/>
      <c r="I89" s="405"/>
      <c r="J89" s="380"/>
      <c r="Y89" s="133"/>
      <c r="Z89" s="133"/>
    </row>
    <row r="90" spans="1:26" s="22" customFormat="1" ht="12.75">
      <c r="A90" s="309" t="s">
        <v>147</v>
      </c>
      <c r="B90" s="404">
        <f>Resultado!N537</f>
        <v>2000000.0399999998</v>
      </c>
      <c r="C90" s="404">
        <v>2245800</v>
      </c>
      <c r="D90" s="345">
        <f t="shared" si="17"/>
        <v>4934400.394285714</v>
      </c>
      <c r="E90" s="404">
        <v>2103000</v>
      </c>
      <c r="F90" s="404">
        <f t="shared" si="13"/>
        <v>-2934400.354285714</v>
      </c>
      <c r="G90" s="405">
        <f t="shared" si="18"/>
        <v>-0.5946822551497642</v>
      </c>
      <c r="H90" s="345">
        <f t="shared" si="15"/>
        <v>-102999.9600000002</v>
      </c>
      <c r="I90" s="405">
        <f t="shared" si="16"/>
        <v>-0.04897763195435102</v>
      </c>
      <c r="J90" s="380">
        <v>2878400.23</v>
      </c>
      <c r="Y90" s="145"/>
      <c r="Z90" s="145"/>
    </row>
    <row r="91" spans="1:26" s="11" customFormat="1" ht="12.75">
      <c r="A91" s="450" t="s">
        <v>104</v>
      </c>
      <c r="B91" s="384">
        <f>SUM(B92:B94)</f>
        <v>145828049.40000004</v>
      </c>
      <c r="C91" s="384">
        <f>SUM(C92:C94)</f>
        <v>108366772</v>
      </c>
      <c r="D91" s="384">
        <f>SUM(D92:D94)+D99</f>
        <v>120953081.10857143</v>
      </c>
      <c r="E91" s="384">
        <v>63289565.760000005</v>
      </c>
      <c r="F91" s="384">
        <f t="shared" si="13"/>
        <v>24874968.29142861</v>
      </c>
      <c r="G91" s="406">
        <f t="shared" si="18"/>
        <v>0.20565799617043265</v>
      </c>
      <c r="H91" s="303">
        <f t="shared" si="15"/>
        <v>82538483.64000003</v>
      </c>
      <c r="I91" s="406">
        <f t="shared" si="16"/>
        <v>1.3041404637376361</v>
      </c>
      <c r="J91" s="384">
        <f>SUM(J92:J94)</f>
        <v>70555963.98</v>
      </c>
      <c r="Y91" s="133"/>
      <c r="Z91" s="133"/>
    </row>
    <row r="92" spans="1:26" s="22" customFormat="1" ht="12.75">
      <c r="A92" s="309" t="s">
        <v>105</v>
      </c>
      <c r="B92" s="404">
        <f>Resultado!N540</f>
        <v>4000000.0799999996</v>
      </c>
      <c r="C92" s="404">
        <v>8066772</v>
      </c>
      <c r="D92" s="345">
        <f>(J92/7)*12</f>
        <v>3397379.4685714287</v>
      </c>
      <c r="E92" s="404">
        <v>4140000</v>
      </c>
      <c r="F92" s="404">
        <f t="shared" si="13"/>
        <v>602620.6114285709</v>
      </c>
      <c r="G92" s="405">
        <f t="shared" si="18"/>
        <v>0.1773780694807013</v>
      </c>
      <c r="H92" s="345">
        <f t="shared" si="15"/>
        <v>-139999.9200000004</v>
      </c>
      <c r="I92" s="405">
        <f t="shared" si="16"/>
        <v>-0.033816405797101545</v>
      </c>
      <c r="J92" s="380">
        <v>1981804.69</v>
      </c>
      <c r="Y92" s="133"/>
      <c r="Z92" s="133"/>
    </row>
    <row r="93" spans="1:26" s="22" customFormat="1" ht="12.75">
      <c r="A93" s="309" t="s">
        <v>186</v>
      </c>
      <c r="B93" s="404">
        <f>Resultado!N541</f>
        <v>6300000</v>
      </c>
      <c r="C93" s="404">
        <v>7500000</v>
      </c>
      <c r="D93" s="345">
        <f>(J93/7)*12</f>
        <v>5397005.074285714</v>
      </c>
      <c r="E93" s="404">
        <v>6213060</v>
      </c>
      <c r="F93" s="404">
        <f t="shared" si="13"/>
        <v>902994.925714286</v>
      </c>
      <c r="G93" s="405">
        <f t="shared" si="18"/>
        <v>0.1673140775828891</v>
      </c>
      <c r="H93" s="345">
        <f t="shared" si="15"/>
        <v>86940</v>
      </c>
      <c r="I93" s="405">
        <f t="shared" si="16"/>
        <v>0.01399310484688704</v>
      </c>
      <c r="J93" s="380">
        <v>3148252.96</v>
      </c>
      <c r="Y93" s="145"/>
      <c r="Z93" s="145"/>
    </row>
    <row r="94" spans="1:26" s="11" customFormat="1" ht="12.75">
      <c r="A94" s="450" t="s">
        <v>179</v>
      </c>
      <c r="B94" s="384">
        <f>SUM(B95:B99)</f>
        <v>135528049.32000002</v>
      </c>
      <c r="C94" s="384">
        <f>SUM(C95:C99)</f>
        <v>92800000</v>
      </c>
      <c r="D94" s="384">
        <f>SUM(D95:D98)+D100</f>
        <v>108146727.78857143</v>
      </c>
      <c r="E94" s="384">
        <v>52936505.760000005</v>
      </c>
      <c r="F94" s="384">
        <f t="shared" si="13"/>
        <v>27381321.53142859</v>
      </c>
      <c r="G94" s="406">
        <f t="shared" si="18"/>
        <v>0.2531867777355179</v>
      </c>
      <c r="H94" s="345">
        <f t="shared" si="15"/>
        <v>82591543.56000002</v>
      </c>
      <c r="I94" s="405">
        <f t="shared" si="16"/>
        <v>1.560200137395695</v>
      </c>
      <c r="J94" s="384">
        <f>SUM(J95:J99)</f>
        <v>65425906.33</v>
      </c>
      <c r="Y94" s="133"/>
      <c r="Z94" s="133"/>
    </row>
    <row r="95" spans="1:26" s="22" customFormat="1" ht="12.75">
      <c r="A95" s="309" t="s">
        <v>106</v>
      </c>
      <c r="B95" s="404">
        <f>Resultado!N543</f>
        <v>5500000.079999999</v>
      </c>
      <c r="C95" s="404">
        <v>6000000</v>
      </c>
      <c r="D95" s="345">
        <f>(J95/7)*12</f>
        <v>5194333.645714286</v>
      </c>
      <c r="E95" s="404">
        <v>3373692.9600000004</v>
      </c>
      <c r="F95" s="404">
        <f t="shared" si="13"/>
        <v>305666.43428571336</v>
      </c>
      <c r="G95" s="405">
        <f t="shared" si="18"/>
        <v>0.058846130251550374</v>
      </c>
      <c r="H95" s="345">
        <f t="shared" si="15"/>
        <v>2126307.1199999987</v>
      </c>
      <c r="I95" s="405">
        <f t="shared" si="16"/>
        <v>0.6302610063246533</v>
      </c>
      <c r="J95" s="380">
        <v>3030027.96</v>
      </c>
      <c r="Y95" s="133"/>
      <c r="Z95" s="133"/>
    </row>
    <row r="96" spans="1:26" s="22" customFormat="1" ht="12.75">
      <c r="A96" s="309" t="s">
        <v>308</v>
      </c>
      <c r="B96" s="404">
        <f>Resultado!N545</f>
        <v>70000000.08000001</v>
      </c>
      <c r="C96" s="404">
        <v>37000000</v>
      </c>
      <c r="D96" s="345">
        <f>(J96/7)*12</f>
        <v>92261435.64</v>
      </c>
      <c r="E96" s="404">
        <v>28947837.600000005</v>
      </c>
      <c r="F96" s="404">
        <f t="shared" si="13"/>
        <v>-22261435.559999987</v>
      </c>
      <c r="G96" s="405">
        <f t="shared" si="18"/>
        <v>-0.24128646390094247</v>
      </c>
      <c r="H96" s="345">
        <f t="shared" si="15"/>
        <v>41052162.480000004</v>
      </c>
      <c r="I96" s="405">
        <f t="shared" si="16"/>
        <v>1.4181426276897449</v>
      </c>
      <c r="J96" s="380">
        <v>53819170.79</v>
      </c>
      <c r="Y96" s="145"/>
      <c r="Z96" s="145"/>
    </row>
    <row r="97" spans="1:26" s="22" customFormat="1" ht="12.75">
      <c r="A97" s="309" t="s">
        <v>309</v>
      </c>
      <c r="B97" s="404">
        <f>Resultado!N546</f>
        <v>39528049.08</v>
      </c>
      <c r="C97" s="404">
        <v>37740000</v>
      </c>
      <c r="D97" s="345">
        <f>(J97/7)*12</f>
        <v>0</v>
      </c>
      <c r="E97" s="404">
        <v>20614975.200000003</v>
      </c>
      <c r="F97" s="404">
        <f t="shared" si="13"/>
        <v>39528049.08</v>
      </c>
      <c r="G97" s="407" t="s">
        <v>416</v>
      </c>
      <c r="H97" s="345">
        <f t="shared" si="15"/>
        <v>18913073.879999995</v>
      </c>
      <c r="I97" s="405">
        <f t="shared" si="16"/>
        <v>0.9174434456753551</v>
      </c>
      <c r="J97" s="346"/>
      <c r="Y97" s="145"/>
      <c r="Z97" s="145"/>
    </row>
    <row r="98" spans="1:26" s="22" customFormat="1" ht="12.75">
      <c r="A98" s="309" t="s">
        <v>108</v>
      </c>
      <c r="B98" s="404">
        <f>Resultado!N547</f>
        <v>15000000</v>
      </c>
      <c r="C98" s="404">
        <v>9900000</v>
      </c>
      <c r="D98" s="345">
        <f>(J98/7)*12</f>
        <v>10690958.502857143</v>
      </c>
      <c r="E98" s="404">
        <v>0</v>
      </c>
      <c r="F98" s="404">
        <f t="shared" si="13"/>
        <v>4309041.497142857</v>
      </c>
      <c r="G98" s="405">
        <f aca="true" t="shared" si="19" ref="G98:G106">(B98-D98)/D98</f>
        <v>0.4030547397589535</v>
      </c>
      <c r="H98" s="345">
        <f t="shared" si="15"/>
        <v>15000000</v>
      </c>
      <c r="I98" s="405" t="e">
        <f t="shared" si="16"/>
        <v>#DIV/0!</v>
      </c>
      <c r="J98" s="380">
        <v>6236392.46</v>
      </c>
      <c r="Y98" s="133"/>
      <c r="Z98" s="133"/>
    </row>
    <row r="99" spans="1:26" s="22" customFormat="1" ht="11.25" customHeight="1">
      <c r="A99" s="309" t="s">
        <v>376</v>
      </c>
      <c r="B99" s="404">
        <f>Resultado!N548</f>
        <v>5500000.079999999</v>
      </c>
      <c r="C99" s="404">
        <v>2160000</v>
      </c>
      <c r="D99" s="345">
        <f>(J99/7)*12</f>
        <v>4011968.777142857</v>
      </c>
      <c r="E99" s="404">
        <v>0</v>
      </c>
      <c r="F99" s="404">
        <f t="shared" si="13"/>
        <v>1488031.302857142</v>
      </c>
      <c r="G99" s="405">
        <f t="shared" si="19"/>
        <v>0.3708980267580374</v>
      </c>
      <c r="H99" s="345">
        <f t="shared" si="15"/>
        <v>5500000.079999999</v>
      </c>
      <c r="I99" s="405" t="e">
        <f t="shared" si="16"/>
        <v>#DIV/0!</v>
      </c>
      <c r="J99" s="380">
        <v>2340315.12</v>
      </c>
      <c r="Y99" s="133"/>
      <c r="Z99" s="133"/>
    </row>
    <row r="100" spans="1:26" s="22" customFormat="1" ht="11.25" customHeight="1" hidden="1">
      <c r="A100" s="309" t="s">
        <v>573</v>
      </c>
      <c r="B100" s="404">
        <v>0</v>
      </c>
      <c r="C100" s="404">
        <v>0</v>
      </c>
      <c r="D100" s="404">
        <f>'[6]Ejecución Presupuestaria'!$CF$108</f>
        <v>0</v>
      </c>
      <c r="E100" s="404"/>
      <c r="F100" s="404">
        <f t="shared" si="13"/>
        <v>0</v>
      </c>
      <c r="G100" s="407" t="s">
        <v>416</v>
      </c>
      <c r="H100" s="345"/>
      <c r="I100" s="405"/>
      <c r="J100" s="380"/>
      <c r="Y100" s="133"/>
      <c r="Z100" s="133"/>
    </row>
    <row r="101" spans="1:26" s="11" customFormat="1" ht="12.75">
      <c r="A101" s="450" t="s">
        <v>377</v>
      </c>
      <c r="B101" s="384">
        <f>B102+B109</f>
        <v>22944689.319999997</v>
      </c>
      <c r="C101" s="384">
        <f>C102+C109</f>
        <v>21848852</v>
      </c>
      <c r="D101" s="384">
        <f>D102+D109</f>
        <v>26099390.837142855</v>
      </c>
      <c r="E101" s="384">
        <v>3432299.77</v>
      </c>
      <c r="F101" s="384">
        <f aca="true" t="shared" si="20" ref="F101:F106">B101-D101</f>
        <v>-3154701.5171428584</v>
      </c>
      <c r="G101" s="406">
        <f t="shared" si="19"/>
        <v>-0.12087261104398285</v>
      </c>
      <c r="H101" s="303">
        <f>B101-E101</f>
        <v>19512389.549999997</v>
      </c>
      <c r="I101" s="406">
        <f>(B101-E101)/E101</f>
        <v>5.684931636958971</v>
      </c>
      <c r="J101" s="384">
        <f>J102+J109</f>
        <v>12692483.520000001</v>
      </c>
      <c r="Y101" s="145"/>
      <c r="Z101" s="145"/>
    </row>
    <row r="102" spans="1:26" s="11" customFormat="1" ht="12.75">
      <c r="A102" s="301" t="s">
        <v>626</v>
      </c>
      <c r="B102" s="384">
        <f>SUM(B103:B108)</f>
        <v>3240000</v>
      </c>
      <c r="C102" s="384">
        <f>SUM(C103:C108)</f>
        <v>14050280</v>
      </c>
      <c r="D102" s="345">
        <f aca="true" t="shared" si="21" ref="D102:D108">(J102/7)*12</f>
        <v>6174663.565714286</v>
      </c>
      <c r="E102" s="384"/>
      <c r="F102" s="404">
        <f t="shared" si="20"/>
        <v>-2934663.5657142857</v>
      </c>
      <c r="G102" s="405">
        <f t="shared" si="19"/>
        <v>-0.4752750549858992</v>
      </c>
      <c r="H102" s="303"/>
      <c r="I102" s="406"/>
      <c r="J102" s="384">
        <f>SUM(J103:J108)</f>
        <v>3601887.08</v>
      </c>
      <c r="Y102" s="145"/>
      <c r="Z102" s="145"/>
    </row>
    <row r="103" spans="1:26" s="11" customFormat="1" ht="12.75" hidden="1">
      <c r="A103" s="454" t="s">
        <v>627</v>
      </c>
      <c r="B103" s="419"/>
      <c r="C103" s="384"/>
      <c r="D103" s="345">
        <f t="shared" si="21"/>
        <v>0</v>
      </c>
      <c r="E103" s="384"/>
      <c r="F103" s="404">
        <f t="shared" si="20"/>
        <v>0</v>
      </c>
      <c r="G103" s="405" t="e">
        <f t="shared" si="19"/>
        <v>#DIV/0!</v>
      </c>
      <c r="H103" s="303"/>
      <c r="I103" s="406"/>
      <c r="J103" s="87"/>
      <c r="Y103" s="145"/>
      <c r="Z103" s="145"/>
    </row>
    <row r="104" spans="1:26" s="11" customFormat="1" ht="12.75" hidden="1">
      <c r="A104" s="454" t="s">
        <v>628</v>
      </c>
      <c r="B104" s="419"/>
      <c r="C104" s="384"/>
      <c r="D104" s="345">
        <f t="shared" si="21"/>
        <v>0</v>
      </c>
      <c r="E104" s="384"/>
      <c r="F104" s="404">
        <f t="shared" si="20"/>
        <v>0</v>
      </c>
      <c r="G104" s="405" t="e">
        <f t="shared" si="19"/>
        <v>#DIV/0!</v>
      </c>
      <c r="H104" s="303"/>
      <c r="I104" s="406"/>
      <c r="J104" s="87"/>
      <c r="Y104" s="145"/>
      <c r="Z104" s="145"/>
    </row>
    <row r="105" spans="1:26" s="11" customFormat="1" ht="12.75" hidden="1">
      <c r="A105" s="454" t="s">
        <v>629</v>
      </c>
      <c r="B105" s="419"/>
      <c r="C105" s="384"/>
      <c r="D105" s="345">
        <f t="shared" si="21"/>
        <v>0</v>
      </c>
      <c r="E105" s="384"/>
      <c r="F105" s="404">
        <f t="shared" si="20"/>
        <v>0</v>
      </c>
      <c r="G105" s="405" t="e">
        <f t="shared" si="19"/>
        <v>#DIV/0!</v>
      </c>
      <c r="H105" s="303"/>
      <c r="I105" s="406"/>
      <c r="J105" s="87"/>
      <c r="Y105" s="145"/>
      <c r="Z105" s="145"/>
    </row>
    <row r="106" spans="1:26" s="22" customFormat="1" ht="12.75">
      <c r="A106" s="346" t="s">
        <v>563</v>
      </c>
      <c r="B106" s="404">
        <f>Resultado!N550</f>
        <v>3240000</v>
      </c>
      <c r="C106" s="404">
        <v>12085345</v>
      </c>
      <c r="D106" s="345">
        <f t="shared" si="21"/>
        <v>2944812.8571428573</v>
      </c>
      <c r="E106" s="404">
        <v>3432299.77</v>
      </c>
      <c r="F106" s="404">
        <f t="shared" si="20"/>
        <v>295187.1428571427</v>
      </c>
      <c r="G106" s="405">
        <f t="shared" si="19"/>
        <v>0.10023969507642731</v>
      </c>
      <c r="H106" s="345">
        <f>B106-E106</f>
        <v>-192299.77000000002</v>
      </c>
      <c r="I106" s="405">
        <f>(B106-E106)/E106</f>
        <v>-0.05602650784782706</v>
      </c>
      <c r="J106" s="380">
        <v>1717807.5</v>
      </c>
      <c r="Y106" s="145"/>
      <c r="Z106" s="145"/>
    </row>
    <row r="107" spans="1:26" s="22" customFormat="1" ht="12.75" hidden="1">
      <c r="A107" s="309" t="s">
        <v>627</v>
      </c>
      <c r="B107" s="404"/>
      <c r="C107" s="404">
        <v>1321949</v>
      </c>
      <c r="D107" s="345">
        <f t="shared" si="21"/>
        <v>3229850.708571429</v>
      </c>
      <c r="E107" s="404"/>
      <c r="F107" s="404">
        <f>B107-D107</f>
        <v>-3229850.708571429</v>
      </c>
      <c r="G107" s="407" t="s">
        <v>416</v>
      </c>
      <c r="H107" s="345"/>
      <c r="I107" s="405"/>
      <c r="J107" s="380">
        <v>1884079.58</v>
      </c>
      <c r="Y107" s="145"/>
      <c r="Z107" s="145"/>
    </row>
    <row r="108" spans="1:26" s="22" customFormat="1" ht="12.75" hidden="1">
      <c r="A108" s="309" t="s">
        <v>564</v>
      </c>
      <c r="B108" s="404"/>
      <c r="C108" s="404">
        <v>642986</v>
      </c>
      <c r="D108" s="345">
        <f t="shared" si="21"/>
        <v>0</v>
      </c>
      <c r="E108" s="404"/>
      <c r="F108" s="404">
        <f>B108-D108</f>
        <v>0</v>
      </c>
      <c r="G108" s="407" t="s">
        <v>416</v>
      </c>
      <c r="H108" s="345">
        <f aca="true" t="shared" si="22" ref="H108:H124">B108-E108</f>
        <v>0</v>
      </c>
      <c r="I108" s="405" t="e">
        <f aca="true" t="shared" si="23" ref="I108:I124">(B108-E108)/E108</f>
        <v>#DIV/0!</v>
      </c>
      <c r="J108" s="380"/>
      <c r="Y108" s="133"/>
      <c r="Z108" s="133"/>
    </row>
    <row r="109" spans="1:26" s="11" customFormat="1" ht="12.75">
      <c r="A109" s="450" t="s">
        <v>803</v>
      </c>
      <c r="B109" s="384">
        <f>SUM(B115:B120)</f>
        <v>19704689.319999997</v>
      </c>
      <c r="C109" s="384">
        <f>SUM(C115:C120)</f>
        <v>7798572</v>
      </c>
      <c r="D109" s="384">
        <f>SUM(D110:D120)</f>
        <v>19924727.27142857</v>
      </c>
      <c r="E109" s="384">
        <v>1829376</v>
      </c>
      <c r="F109" s="384">
        <f>B109-D109</f>
        <v>-220037.95142857358</v>
      </c>
      <c r="G109" s="406">
        <f>(B109-D109)/D109</f>
        <v>-0.011043461144088083</v>
      </c>
      <c r="H109" s="303">
        <f t="shared" si="22"/>
        <v>17875313.319999997</v>
      </c>
      <c r="I109" s="406">
        <f t="shared" si="23"/>
        <v>9.771262616323815</v>
      </c>
      <c r="J109" s="384">
        <f>SUM(J115:J120)</f>
        <v>9090596.440000001</v>
      </c>
      <c r="Y109" s="133"/>
      <c r="Z109" s="133"/>
    </row>
    <row r="110" spans="1:26" s="11" customFormat="1" ht="12.75" hidden="1">
      <c r="A110" s="346" t="s">
        <v>621</v>
      </c>
      <c r="B110" s="384"/>
      <c r="C110" s="384"/>
      <c r="D110" s="404">
        <v>2175236.61</v>
      </c>
      <c r="E110" s="404"/>
      <c r="F110" s="404">
        <f aca="true" t="shared" si="24" ref="F110:F119">B110-D110</f>
        <v>-2175236.61</v>
      </c>
      <c r="G110" s="405">
        <f aca="true" t="shared" si="25" ref="G110:G119">(B110-D110)/D110</f>
        <v>-1</v>
      </c>
      <c r="H110" s="303"/>
      <c r="I110" s="406"/>
      <c r="J110" s="87"/>
      <c r="Y110" s="133"/>
      <c r="Z110" s="133"/>
    </row>
    <row r="111" spans="1:26" s="11" customFormat="1" ht="12.75" hidden="1">
      <c r="A111" s="346" t="s">
        <v>622</v>
      </c>
      <c r="B111" s="384"/>
      <c r="C111" s="384"/>
      <c r="D111" s="404">
        <f>'[6]Ejecución Presupuestaria'!$CF$117</f>
        <v>2082375.4100000001</v>
      </c>
      <c r="E111" s="404"/>
      <c r="F111" s="404">
        <f t="shared" si="24"/>
        <v>-2082375.4100000001</v>
      </c>
      <c r="G111" s="405">
        <f t="shared" si="25"/>
        <v>-1</v>
      </c>
      <c r="H111" s="303"/>
      <c r="I111" s="406"/>
      <c r="J111" s="87"/>
      <c r="Y111" s="133"/>
      <c r="Z111" s="133"/>
    </row>
    <row r="112" spans="1:26" s="11" customFormat="1" ht="12.75" hidden="1">
      <c r="A112" s="346" t="s">
        <v>623</v>
      </c>
      <c r="B112" s="384"/>
      <c r="C112" s="384"/>
      <c r="D112" s="404"/>
      <c r="E112" s="404"/>
      <c r="F112" s="404">
        <f t="shared" si="24"/>
        <v>0</v>
      </c>
      <c r="G112" s="405" t="e">
        <f t="shared" si="25"/>
        <v>#DIV/0!</v>
      </c>
      <c r="H112" s="303"/>
      <c r="I112" s="406"/>
      <c r="J112" s="87"/>
      <c r="Y112" s="133"/>
      <c r="Z112" s="133"/>
    </row>
    <row r="113" spans="1:26" s="11" customFormat="1" ht="12.75" hidden="1">
      <c r="A113" s="346" t="s">
        <v>624</v>
      </c>
      <c r="B113" s="384"/>
      <c r="C113" s="384"/>
      <c r="D113" s="404">
        <f>'[6]Ejecución Presupuestaria'!$CF$119</f>
        <v>225</v>
      </c>
      <c r="E113" s="404"/>
      <c r="F113" s="404">
        <f t="shared" si="24"/>
        <v>-225</v>
      </c>
      <c r="G113" s="405">
        <f t="shared" si="25"/>
        <v>-1</v>
      </c>
      <c r="H113" s="303"/>
      <c r="I113" s="406"/>
      <c r="J113" s="87"/>
      <c r="Y113" s="133"/>
      <c r="Z113" s="133"/>
    </row>
    <row r="114" spans="1:26" s="11" customFormat="1" ht="12.75" hidden="1">
      <c r="A114" s="346" t="s">
        <v>625</v>
      </c>
      <c r="B114" s="384"/>
      <c r="C114" s="384"/>
      <c r="D114" s="404">
        <v>94859.92</v>
      </c>
      <c r="E114" s="404"/>
      <c r="F114" s="404">
        <f t="shared" si="24"/>
        <v>-94859.92</v>
      </c>
      <c r="G114" s="405">
        <f t="shared" si="25"/>
        <v>-1</v>
      </c>
      <c r="H114" s="303"/>
      <c r="I114" s="406"/>
      <c r="J114" s="87"/>
      <c r="Y114" s="133"/>
      <c r="Z114" s="133"/>
    </row>
    <row r="115" spans="1:26" s="125" customFormat="1" ht="12.75">
      <c r="A115" s="453" t="s">
        <v>893</v>
      </c>
      <c r="B115" s="163">
        <f>Resultado!N556</f>
        <v>3969203.0799999987</v>
      </c>
      <c r="C115" s="163">
        <v>3398568</v>
      </c>
      <c r="D115" s="345">
        <f>(J115/7)*12</f>
        <v>2266582.3885714286</v>
      </c>
      <c r="E115" s="163">
        <v>900000</v>
      </c>
      <c r="F115" s="404">
        <f t="shared" si="24"/>
        <v>1702620.69142857</v>
      </c>
      <c r="G115" s="405">
        <f t="shared" si="25"/>
        <v>0.751184117556693</v>
      </c>
      <c r="H115" s="163">
        <f>B115-E115</f>
        <v>3069203.0799999987</v>
      </c>
      <c r="I115" s="420">
        <f>(B115-E115)/E115</f>
        <v>3.4102256444444428</v>
      </c>
      <c r="J115" s="353">
        <v>1322173.06</v>
      </c>
      <c r="Y115" s="127"/>
      <c r="Z115" s="127"/>
    </row>
    <row r="116" spans="1:26" s="125" customFormat="1" ht="12.75">
      <c r="A116" s="453" t="s">
        <v>894</v>
      </c>
      <c r="B116" s="163">
        <f>Resultado!N566</f>
        <v>1427400</v>
      </c>
      <c r="C116" s="163">
        <v>0</v>
      </c>
      <c r="D116" s="345">
        <f>(J116/7)*12</f>
        <v>14922.857142857145</v>
      </c>
      <c r="E116" s="163">
        <v>329376</v>
      </c>
      <c r="F116" s="404">
        <f t="shared" si="24"/>
        <v>1412477.142857143</v>
      </c>
      <c r="G116" s="405">
        <f t="shared" si="25"/>
        <v>94.65192418150488</v>
      </c>
      <c r="H116" s="163">
        <f t="shared" si="22"/>
        <v>1098024</v>
      </c>
      <c r="I116" s="420">
        <f t="shared" si="23"/>
        <v>3.3336490819003206</v>
      </c>
      <c r="J116" s="353">
        <v>8705</v>
      </c>
      <c r="Y116" s="127"/>
      <c r="Z116" s="127"/>
    </row>
    <row r="117" spans="1:26" s="125" customFormat="1" ht="12.75" hidden="1">
      <c r="A117" s="453" t="s">
        <v>895</v>
      </c>
      <c r="B117" s="163">
        <f>Resultado!N567</f>
        <v>0</v>
      </c>
      <c r="C117" s="163">
        <v>0</v>
      </c>
      <c r="D117" s="163">
        <v>0</v>
      </c>
      <c r="E117" s="163">
        <v>600000</v>
      </c>
      <c r="F117" s="404">
        <f t="shared" si="24"/>
        <v>0</v>
      </c>
      <c r="G117" s="407" t="s">
        <v>416</v>
      </c>
      <c r="H117" s="163">
        <f t="shared" si="22"/>
        <v>-600000</v>
      </c>
      <c r="I117" s="420">
        <f t="shared" si="23"/>
        <v>-1</v>
      </c>
      <c r="J117" s="353">
        <v>6912.08</v>
      </c>
      <c r="Y117" s="377"/>
      <c r="Z117" s="377"/>
    </row>
    <row r="118" spans="1:26" s="125" customFormat="1" ht="12.75" hidden="1">
      <c r="A118" s="453" t="s">
        <v>896</v>
      </c>
      <c r="B118" s="163">
        <f>Resultado!N568</f>
        <v>0</v>
      </c>
      <c r="C118" s="163"/>
      <c r="D118" s="345">
        <f>(J118/7)*12</f>
        <v>0</v>
      </c>
      <c r="E118" s="163"/>
      <c r="F118" s="404">
        <f t="shared" si="24"/>
        <v>0</v>
      </c>
      <c r="G118" s="407" t="s">
        <v>416</v>
      </c>
      <c r="H118" s="163"/>
      <c r="I118" s="420"/>
      <c r="J118" s="353"/>
      <c r="Y118" s="377"/>
      <c r="Z118" s="377"/>
    </row>
    <row r="119" spans="1:26" s="125" customFormat="1" ht="12.75">
      <c r="A119" s="453" t="s">
        <v>897</v>
      </c>
      <c r="B119" s="163">
        <f>Resultado!N570</f>
        <v>9308086.2</v>
      </c>
      <c r="C119" s="163"/>
      <c r="D119" s="345">
        <f>(J119/7)*12</f>
        <v>7397039.862857142</v>
      </c>
      <c r="E119" s="163"/>
      <c r="F119" s="404">
        <f t="shared" si="24"/>
        <v>1911046.3371428568</v>
      </c>
      <c r="G119" s="405">
        <f t="shared" si="25"/>
        <v>0.25835285094769056</v>
      </c>
      <c r="H119" s="163"/>
      <c r="I119" s="420"/>
      <c r="J119" s="353">
        <v>4314939.92</v>
      </c>
      <c r="Y119" s="377"/>
      <c r="Z119" s="377"/>
    </row>
    <row r="120" spans="1:26" s="11" customFormat="1" ht="12.75">
      <c r="A120" s="450" t="s">
        <v>898</v>
      </c>
      <c r="B120" s="384">
        <f>SUM(B121)</f>
        <v>5000000.04</v>
      </c>
      <c r="C120" s="384">
        <f>SUM(C121)</f>
        <v>4400004</v>
      </c>
      <c r="D120" s="384">
        <f>SUM(D121)</f>
        <v>5893485.222857143</v>
      </c>
      <c r="E120" s="384">
        <v>3137500.0799999996</v>
      </c>
      <c r="F120" s="384">
        <f aca="true" t="shared" si="26" ref="F120:F130">B120-D120</f>
        <v>-893485.1828571428</v>
      </c>
      <c r="G120" s="406">
        <f aca="true" t="shared" si="27" ref="G120:G129">(B120-D120)/D120</f>
        <v>-0.15160556938225153</v>
      </c>
      <c r="H120" s="303">
        <f t="shared" si="22"/>
        <v>1862499.9600000004</v>
      </c>
      <c r="I120" s="406">
        <f t="shared" si="23"/>
        <v>0.5936254701226974</v>
      </c>
      <c r="J120" s="384">
        <f>SUM(J121)</f>
        <v>3437866.38</v>
      </c>
      <c r="Y120" s="133"/>
      <c r="Z120" s="133"/>
    </row>
    <row r="121" spans="1:26" s="22" customFormat="1" ht="12.75">
      <c r="A121" s="309" t="s">
        <v>109</v>
      </c>
      <c r="B121" s="404">
        <f>Resultado!N580</f>
        <v>5000000.04</v>
      </c>
      <c r="C121" s="404">
        <v>4400004</v>
      </c>
      <c r="D121" s="345">
        <f>(J121/7)*12</f>
        <v>5893485.222857143</v>
      </c>
      <c r="E121" s="404">
        <v>3137500.0799999996</v>
      </c>
      <c r="F121" s="404">
        <f t="shared" si="26"/>
        <v>-893485.1828571428</v>
      </c>
      <c r="G121" s="405">
        <f t="shared" si="27"/>
        <v>-0.15160556938225153</v>
      </c>
      <c r="H121" s="345">
        <f t="shared" si="22"/>
        <v>1862499.9600000004</v>
      </c>
      <c r="I121" s="405">
        <f t="shared" si="23"/>
        <v>0.5936254701226974</v>
      </c>
      <c r="J121" s="380">
        <v>3437866.38</v>
      </c>
      <c r="Y121" s="145"/>
      <c r="Z121" s="145"/>
    </row>
    <row r="122" spans="1:26" s="11" customFormat="1" ht="12.75">
      <c r="A122" s="450" t="s">
        <v>110</v>
      </c>
      <c r="B122" s="384">
        <f>B123+B124+B125+B130+B166</f>
        <v>59582490.09</v>
      </c>
      <c r="C122" s="384">
        <f>C123+C124+C125+C130+C166</f>
        <v>81044482</v>
      </c>
      <c r="D122" s="384">
        <f>D123+D124+D125+D130+D166</f>
        <v>101425305.03428571</v>
      </c>
      <c r="E122" s="384">
        <v>30205000.49199999</v>
      </c>
      <c r="F122" s="384">
        <f t="shared" si="26"/>
        <v>-41842814.944285706</v>
      </c>
      <c r="G122" s="406">
        <f t="shared" si="27"/>
        <v>-0.41254808087726436</v>
      </c>
      <c r="H122" s="303">
        <f t="shared" si="22"/>
        <v>29377489.598000012</v>
      </c>
      <c r="I122" s="406">
        <f t="shared" si="23"/>
        <v>0.9726035133083626</v>
      </c>
      <c r="J122" s="384">
        <f>J123+J124+J125+J130+J166</f>
        <v>61202677.269999996</v>
      </c>
      <c r="Y122" s="133"/>
      <c r="Z122" s="133"/>
    </row>
    <row r="123" spans="1:26" s="11" customFormat="1" ht="12.75">
      <c r="A123" s="309" t="s">
        <v>155</v>
      </c>
      <c r="B123" s="404">
        <f>Resultado!N590</f>
        <v>1380000</v>
      </c>
      <c r="C123" s="404">
        <v>2400000</v>
      </c>
      <c r="D123" s="345">
        <f>(J123/7)*12</f>
        <v>1289406.8571428573</v>
      </c>
      <c r="E123" s="404">
        <v>2450000</v>
      </c>
      <c r="F123" s="404">
        <f t="shared" si="26"/>
        <v>90593.14285714272</v>
      </c>
      <c r="G123" s="405">
        <f t="shared" si="27"/>
        <v>0.07025954791173074</v>
      </c>
      <c r="H123" s="345">
        <f t="shared" si="22"/>
        <v>-1070000</v>
      </c>
      <c r="I123" s="405">
        <f t="shared" si="23"/>
        <v>-0.43673469387755104</v>
      </c>
      <c r="J123" s="87">
        <v>752154</v>
      </c>
      <c r="Y123" s="145"/>
      <c r="Z123" s="145"/>
    </row>
    <row r="124" spans="1:26" s="11" customFormat="1" ht="12.75">
      <c r="A124" s="309" t="s">
        <v>142</v>
      </c>
      <c r="B124" s="404">
        <f>Resultado!N591</f>
        <v>4620000</v>
      </c>
      <c r="C124" s="404">
        <v>3000000</v>
      </c>
      <c r="D124" s="345">
        <f>(J124/7)*12</f>
        <v>4372255.851428572</v>
      </c>
      <c r="E124" s="404">
        <v>2995000.0799999996</v>
      </c>
      <c r="F124" s="404">
        <f t="shared" si="26"/>
        <v>247744.1485714279</v>
      </c>
      <c r="G124" s="405">
        <f t="shared" si="27"/>
        <v>0.05666277477574444</v>
      </c>
      <c r="H124" s="345">
        <f t="shared" si="22"/>
        <v>1624999.9200000004</v>
      </c>
      <c r="I124" s="405">
        <f t="shared" si="23"/>
        <v>0.5425709103820794</v>
      </c>
      <c r="J124" s="87">
        <v>2550482.58</v>
      </c>
      <c r="Y124" s="145"/>
      <c r="Z124" s="145"/>
    </row>
    <row r="125" spans="1:26" s="11" customFormat="1" ht="12.75">
      <c r="A125" s="301" t="s">
        <v>507</v>
      </c>
      <c r="B125" s="303">
        <f>SUM(B126:B129)</f>
        <v>1126800</v>
      </c>
      <c r="C125" s="303">
        <f>SUM(C126:C129)</f>
        <v>7122820</v>
      </c>
      <c r="D125" s="303">
        <f>SUM(D126:D129)</f>
        <v>1063530.617142857</v>
      </c>
      <c r="E125" s="303"/>
      <c r="F125" s="404">
        <f t="shared" si="26"/>
        <v>63269.38285714295</v>
      </c>
      <c r="G125" s="405">
        <f t="shared" si="27"/>
        <v>0.059489949642554</v>
      </c>
      <c r="H125" s="303"/>
      <c r="I125" s="401"/>
      <c r="J125" s="303">
        <f>SUM(J126:J129)</f>
        <v>620392.86</v>
      </c>
      <c r="Y125" s="145"/>
      <c r="Z125" s="145"/>
    </row>
    <row r="126" spans="1:26" s="22" customFormat="1" ht="12.75">
      <c r="A126" s="309" t="s">
        <v>370</v>
      </c>
      <c r="B126" s="404">
        <f>Resultado!N594</f>
        <v>46800</v>
      </c>
      <c r="C126" s="404">
        <v>7122820</v>
      </c>
      <c r="D126" s="345">
        <f>(J126/7)*12</f>
        <v>44293.474285714285</v>
      </c>
      <c r="E126" s="404">
        <v>707600.04</v>
      </c>
      <c r="F126" s="404">
        <f t="shared" si="26"/>
        <v>2506.5257142857154</v>
      </c>
      <c r="G126" s="405">
        <f t="shared" si="27"/>
        <v>0.056589051879683556</v>
      </c>
      <c r="H126" s="345">
        <f>B126-E126</f>
        <v>-660800.04</v>
      </c>
      <c r="I126" s="405">
        <f>(B126-E126)/E126</f>
        <v>-0.9338609421220496</v>
      </c>
      <c r="J126" s="380">
        <v>25837.86</v>
      </c>
      <c r="Y126" s="133"/>
      <c r="Z126" s="133"/>
    </row>
    <row r="127" spans="1:26" s="22" customFormat="1" ht="12.75" hidden="1">
      <c r="A127" s="309" t="s">
        <v>176</v>
      </c>
      <c r="B127" s="404"/>
      <c r="C127" s="404"/>
      <c r="D127" s="345">
        <f>(J127/7)*12</f>
        <v>0</v>
      </c>
      <c r="E127" s="404"/>
      <c r="F127" s="404">
        <f t="shared" si="26"/>
        <v>0</v>
      </c>
      <c r="G127" s="405" t="e">
        <f t="shared" si="27"/>
        <v>#DIV/0!</v>
      </c>
      <c r="H127" s="345">
        <f>B127-E127</f>
        <v>0</v>
      </c>
      <c r="I127" s="405" t="e">
        <f>(B127-E127)/E127</f>
        <v>#DIV/0!</v>
      </c>
      <c r="J127" s="380"/>
      <c r="Y127" s="133"/>
      <c r="Z127" s="133"/>
    </row>
    <row r="128" spans="1:26" s="22" customFormat="1" ht="12.75">
      <c r="A128" s="309" t="s">
        <v>154</v>
      </c>
      <c r="B128" s="404">
        <f>Resultado!N595</f>
        <v>240000</v>
      </c>
      <c r="C128" s="404">
        <v>0</v>
      </c>
      <c r="D128" s="345">
        <f>(J128/7)*12</f>
        <v>236391.42857142858</v>
      </c>
      <c r="E128" s="404">
        <v>6022884</v>
      </c>
      <c r="F128" s="404">
        <f t="shared" si="26"/>
        <v>3608.5714285714203</v>
      </c>
      <c r="G128" s="405">
        <f t="shared" si="27"/>
        <v>0.015265238043438812</v>
      </c>
      <c r="H128" s="345">
        <f>B128-E128</f>
        <v>-5782884</v>
      </c>
      <c r="I128" s="405">
        <f>(B128-E128)/E128</f>
        <v>-0.9601519803469567</v>
      </c>
      <c r="J128" s="380">
        <v>137895</v>
      </c>
      <c r="Y128" s="133"/>
      <c r="Z128" s="133"/>
    </row>
    <row r="129" spans="1:26" s="22" customFormat="1" ht="12.75">
      <c r="A129" s="309" t="s">
        <v>431</v>
      </c>
      <c r="B129" s="404">
        <f>Resultado!N593</f>
        <v>840000</v>
      </c>
      <c r="C129" s="404">
        <v>0</v>
      </c>
      <c r="D129" s="345">
        <f>(J129/7)*12</f>
        <v>782845.7142857143</v>
      </c>
      <c r="E129" s="404"/>
      <c r="F129" s="404">
        <f t="shared" si="26"/>
        <v>57154.28571428568</v>
      </c>
      <c r="G129" s="405">
        <f t="shared" si="27"/>
        <v>0.07300836508562164</v>
      </c>
      <c r="H129" s="345"/>
      <c r="I129" s="405"/>
      <c r="J129" s="380">
        <v>456660</v>
      </c>
      <c r="Y129" s="133"/>
      <c r="Z129" s="133"/>
    </row>
    <row r="130" spans="1:26" s="11" customFormat="1" ht="12.75">
      <c r="A130" s="450" t="s">
        <v>290</v>
      </c>
      <c r="B130" s="384">
        <f>Resultado!N599</f>
        <v>25575690.05000001</v>
      </c>
      <c r="C130" s="384">
        <v>26624794</v>
      </c>
      <c r="D130" s="303">
        <f>(J130/7)*12</f>
        <v>70407257.82857142</v>
      </c>
      <c r="E130" s="384">
        <v>11548500</v>
      </c>
      <c r="F130" s="384">
        <f t="shared" si="26"/>
        <v>-44831567.77857141</v>
      </c>
      <c r="G130" s="406">
        <f>(B130-D130)/D130</f>
        <v>-0.6367463974769184</v>
      </c>
      <c r="H130" s="303">
        <f>B130-E130</f>
        <v>14027190.050000008</v>
      </c>
      <c r="I130" s="406">
        <f>(B130-E130)/E130</f>
        <v>1.2146330735593374</v>
      </c>
      <c r="J130" s="87">
        <v>41070900.4</v>
      </c>
      <c r="Y130" s="145"/>
      <c r="Z130" s="145"/>
    </row>
    <row r="131" spans="1:26" s="11" customFormat="1" ht="12.75">
      <c r="A131" s="453" t="s">
        <v>271</v>
      </c>
      <c r="B131" s="384">
        <f>Resultado!N600</f>
        <v>4811000</v>
      </c>
      <c r="C131" s="384"/>
      <c r="D131" s="345">
        <f aca="true" t="shared" si="28" ref="D131:D138">(J131/7)*12</f>
        <v>0</v>
      </c>
      <c r="E131" s="384"/>
      <c r="F131" s="404">
        <f aca="true" t="shared" si="29" ref="F131:F164">B131-D131</f>
        <v>4811000</v>
      </c>
      <c r="G131" s="407" t="s">
        <v>416</v>
      </c>
      <c r="H131" s="303"/>
      <c r="I131" s="406"/>
      <c r="J131" s="87"/>
      <c r="Y131" s="145"/>
      <c r="Z131" s="145"/>
    </row>
    <row r="132" spans="1:26" s="22" customFormat="1" ht="12.75">
      <c r="A132" s="453" t="s">
        <v>855</v>
      </c>
      <c r="B132" s="404">
        <f>Resultado!N601</f>
        <v>94500</v>
      </c>
      <c r="C132" s="404"/>
      <c r="D132" s="345">
        <f t="shared" si="28"/>
        <v>0</v>
      </c>
      <c r="E132" s="404">
        <v>4850000</v>
      </c>
      <c r="F132" s="404">
        <f t="shared" si="29"/>
        <v>94500</v>
      </c>
      <c r="G132" s="407" t="s">
        <v>416</v>
      </c>
      <c r="H132" s="345">
        <f>B132-E132</f>
        <v>-4755500</v>
      </c>
      <c r="I132" s="405">
        <f>(B132-E132)/E132</f>
        <v>-0.9805154639175258</v>
      </c>
      <c r="J132" s="380"/>
      <c r="Y132" s="147"/>
      <c r="Z132" s="133"/>
    </row>
    <row r="133" spans="1:26" s="22" customFormat="1" ht="12.75">
      <c r="A133" s="453" t="s">
        <v>856</v>
      </c>
      <c r="B133" s="404">
        <f>Resultado!N602</f>
        <v>94500</v>
      </c>
      <c r="C133" s="404"/>
      <c r="D133" s="345">
        <f t="shared" si="28"/>
        <v>0</v>
      </c>
      <c r="E133" s="404">
        <v>0</v>
      </c>
      <c r="F133" s="404">
        <f t="shared" si="29"/>
        <v>94500</v>
      </c>
      <c r="G133" s="407" t="s">
        <v>416</v>
      </c>
      <c r="H133" s="417" t="s">
        <v>416</v>
      </c>
      <c r="I133" s="407" t="s">
        <v>416</v>
      </c>
      <c r="J133" s="380"/>
      <c r="Y133" s="147"/>
      <c r="Z133" s="133"/>
    </row>
    <row r="134" spans="1:26" s="22" customFormat="1" ht="12.75">
      <c r="A134" s="453" t="s">
        <v>857</v>
      </c>
      <c r="B134" s="404">
        <f>Resultado!N603</f>
        <v>94500</v>
      </c>
      <c r="C134" s="404"/>
      <c r="D134" s="345">
        <f t="shared" si="28"/>
        <v>0</v>
      </c>
      <c r="E134" s="404">
        <v>0</v>
      </c>
      <c r="F134" s="404">
        <f t="shared" si="29"/>
        <v>94500</v>
      </c>
      <c r="G134" s="407" t="s">
        <v>416</v>
      </c>
      <c r="H134" s="417" t="s">
        <v>416</v>
      </c>
      <c r="I134" s="407" t="s">
        <v>416</v>
      </c>
      <c r="J134" s="380"/>
      <c r="Y134" s="147"/>
      <c r="Z134" s="133"/>
    </row>
    <row r="135" spans="1:26" s="22" customFormat="1" ht="12.75" hidden="1">
      <c r="A135" s="309" t="s">
        <v>334</v>
      </c>
      <c r="B135" s="404">
        <f>Resultado!N605</f>
        <v>0</v>
      </c>
      <c r="C135" s="404"/>
      <c r="D135" s="345">
        <f t="shared" si="28"/>
        <v>0</v>
      </c>
      <c r="E135" s="404">
        <v>0</v>
      </c>
      <c r="F135" s="404">
        <f t="shared" si="29"/>
        <v>0</v>
      </c>
      <c r="G135" s="407" t="s">
        <v>416</v>
      </c>
      <c r="H135" s="417" t="s">
        <v>416</v>
      </c>
      <c r="I135" s="407" t="s">
        <v>416</v>
      </c>
      <c r="J135" s="380"/>
      <c r="Y135" s="133"/>
      <c r="Z135" s="133"/>
    </row>
    <row r="136" spans="1:26" s="22" customFormat="1" ht="12.75" hidden="1">
      <c r="A136" s="309" t="s">
        <v>691</v>
      </c>
      <c r="B136" s="404">
        <f>Resultado!N606</f>
        <v>0</v>
      </c>
      <c r="C136" s="404"/>
      <c r="D136" s="345">
        <f t="shared" si="28"/>
        <v>0</v>
      </c>
      <c r="E136" s="404">
        <v>0</v>
      </c>
      <c r="F136" s="404">
        <f t="shared" si="29"/>
        <v>0</v>
      </c>
      <c r="G136" s="407" t="s">
        <v>416</v>
      </c>
      <c r="H136" s="417" t="s">
        <v>416</v>
      </c>
      <c r="I136" s="407" t="s">
        <v>416</v>
      </c>
      <c r="J136" s="380"/>
      <c r="Y136" s="133"/>
      <c r="Z136" s="133"/>
    </row>
    <row r="137" spans="1:26" s="193" customFormat="1" ht="12.75">
      <c r="A137" s="309" t="s">
        <v>320</v>
      </c>
      <c r="B137" s="404">
        <f>Resultado!N607</f>
        <v>750000</v>
      </c>
      <c r="C137" s="404"/>
      <c r="D137" s="345">
        <f t="shared" si="28"/>
        <v>0</v>
      </c>
      <c r="E137" s="404">
        <v>0</v>
      </c>
      <c r="F137" s="404">
        <f t="shared" si="29"/>
        <v>750000</v>
      </c>
      <c r="G137" s="407" t="s">
        <v>416</v>
      </c>
      <c r="H137" s="404">
        <f>B137-E137</f>
        <v>750000</v>
      </c>
      <c r="I137" s="405" t="e">
        <f>(B137-E137)/E137</f>
        <v>#DIV/0!</v>
      </c>
      <c r="J137" s="381"/>
      <c r="Y137" s="194"/>
      <c r="Z137" s="194"/>
    </row>
    <row r="138" spans="1:26" s="22" customFormat="1" ht="12.75">
      <c r="A138" s="309" t="s">
        <v>332</v>
      </c>
      <c r="B138" s="404">
        <f>Resultado!N608</f>
        <v>1200000</v>
      </c>
      <c r="C138" s="404"/>
      <c r="D138" s="345">
        <f t="shared" si="28"/>
        <v>0</v>
      </c>
      <c r="E138" s="404">
        <v>0</v>
      </c>
      <c r="F138" s="404">
        <f t="shared" si="29"/>
        <v>1200000</v>
      </c>
      <c r="G138" s="407" t="s">
        <v>416</v>
      </c>
      <c r="H138" s="345">
        <f>B138-E138</f>
        <v>1200000</v>
      </c>
      <c r="I138" s="405" t="e">
        <f>(B138-E138)/E138</f>
        <v>#DIV/0!</v>
      </c>
      <c r="J138" s="380"/>
      <c r="Y138" s="133"/>
      <c r="Z138" s="133"/>
    </row>
    <row r="139" spans="1:26" s="22" customFormat="1" ht="12.75">
      <c r="A139" s="309" t="s">
        <v>692</v>
      </c>
      <c r="B139" s="404">
        <f>Resultado!N609</f>
        <v>200000</v>
      </c>
      <c r="C139" s="404"/>
      <c r="D139" s="404"/>
      <c r="E139" s="404"/>
      <c r="F139" s="404">
        <f t="shared" si="29"/>
        <v>200000</v>
      </c>
      <c r="G139" s="407" t="s">
        <v>416</v>
      </c>
      <c r="H139" s="345"/>
      <c r="I139" s="405"/>
      <c r="J139" s="380"/>
      <c r="Y139" s="133"/>
      <c r="Z139" s="133"/>
    </row>
    <row r="140" spans="1:26" s="22" customFormat="1" ht="12.75">
      <c r="A140" s="309" t="s">
        <v>335</v>
      </c>
      <c r="B140" s="404">
        <f>Resultado!N610</f>
        <v>1000000</v>
      </c>
      <c r="C140" s="404"/>
      <c r="D140" s="404"/>
      <c r="E140" s="404"/>
      <c r="F140" s="404">
        <f t="shared" si="29"/>
        <v>1000000</v>
      </c>
      <c r="G140" s="407" t="s">
        <v>416</v>
      </c>
      <c r="H140" s="345"/>
      <c r="I140" s="405"/>
      <c r="J140" s="380"/>
      <c r="Y140" s="133"/>
      <c r="Z140" s="133"/>
    </row>
    <row r="141" spans="1:26" s="22" customFormat="1" ht="12.75" hidden="1">
      <c r="A141" s="309" t="s">
        <v>690</v>
      </c>
      <c r="B141" s="404">
        <f>Resultado!N611</f>
        <v>0</v>
      </c>
      <c r="C141" s="404"/>
      <c r="D141" s="404"/>
      <c r="E141" s="404"/>
      <c r="F141" s="404">
        <f t="shared" si="29"/>
        <v>0</v>
      </c>
      <c r="G141" s="407" t="s">
        <v>416</v>
      </c>
      <c r="H141" s="345"/>
      <c r="I141" s="405"/>
      <c r="J141" s="380"/>
      <c r="Y141" s="133"/>
      <c r="Z141" s="133"/>
    </row>
    <row r="142" spans="1:26" s="22" customFormat="1" ht="12.75">
      <c r="A142" s="309" t="s">
        <v>456</v>
      </c>
      <c r="B142" s="404">
        <f>Resultado!N612</f>
        <v>1300000</v>
      </c>
      <c r="C142" s="404"/>
      <c r="D142" s="404"/>
      <c r="E142" s="404"/>
      <c r="F142" s="404">
        <f t="shared" si="29"/>
        <v>1300000</v>
      </c>
      <c r="G142" s="407" t="s">
        <v>416</v>
      </c>
      <c r="H142" s="345"/>
      <c r="I142" s="405"/>
      <c r="J142" s="380"/>
      <c r="Y142" s="133"/>
      <c r="Z142" s="133"/>
    </row>
    <row r="143" spans="1:26" s="22" customFormat="1" ht="12.75">
      <c r="A143" s="309" t="s">
        <v>707</v>
      </c>
      <c r="B143" s="404">
        <f>Resultado!N613</f>
        <v>200000</v>
      </c>
      <c r="C143" s="404"/>
      <c r="D143" s="404"/>
      <c r="E143" s="404"/>
      <c r="F143" s="404">
        <f t="shared" si="29"/>
        <v>200000</v>
      </c>
      <c r="G143" s="407" t="s">
        <v>416</v>
      </c>
      <c r="H143" s="345"/>
      <c r="I143" s="405"/>
      <c r="J143" s="380"/>
      <c r="Y143" s="133"/>
      <c r="Z143" s="133"/>
    </row>
    <row r="144" spans="1:26" s="22" customFormat="1" ht="12.75" hidden="1">
      <c r="A144" s="309" t="s">
        <v>736</v>
      </c>
      <c r="B144" s="404"/>
      <c r="C144" s="404"/>
      <c r="D144" s="404"/>
      <c r="E144" s="404"/>
      <c r="F144" s="404">
        <f t="shared" si="29"/>
        <v>0</v>
      </c>
      <c r="G144" s="407" t="s">
        <v>416</v>
      </c>
      <c r="H144" s="345"/>
      <c r="I144" s="405"/>
      <c r="J144" s="380"/>
      <c r="Y144" s="133"/>
      <c r="Z144" s="133"/>
    </row>
    <row r="145" spans="1:26" s="22" customFormat="1" ht="12.75">
      <c r="A145" s="309" t="s">
        <v>929</v>
      </c>
      <c r="B145" s="404">
        <f>Resultado!N614</f>
        <v>7380340</v>
      </c>
      <c r="C145" s="404"/>
      <c r="D145" s="404"/>
      <c r="E145" s="404"/>
      <c r="F145" s="404">
        <f t="shared" si="29"/>
        <v>7380340</v>
      </c>
      <c r="G145" s="407" t="s">
        <v>416</v>
      </c>
      <c r="H145" s="345"/>
      <c r="I145" s="405"/>
      <c r="J145" s="380"/>
      <c r="Y145" s="133"/>
      <c r="Z145" s="133"/>
    </row>
    <row r="146" spans="1:26" s="22" customFormat="1" ht="12.75" hidden="1">
      <c r="A146" s="309" t="s">
        <v>785</v>
      </c>
      <c r="B146" s="404">
        <f>Resultado!N615</f>
        <v>0</v>
      </c>
      <c r="C146" s="404"/>
      <c r="D146" s="404"/>
      <c r="E146" s="404"/>
      <c r="F146" s="404">
        <f t="shared" si="29"/>
        <v>0</v>
      </c>
      <c r="G146" s="407" t="s">
        <v>416</v>
      </c>
      <c r="H146" s="345"/>
      <c r="I146" s="405"/>
      <c r="J146" s="380"/>
      <c r="Y146" s="133"/>
      <c r="Z146" s="133"/>
    </row>
    <row r="147" spans="1:26" s="22" customFormat="1" ht="12.75" hidden="1">
      <c r="A147" s="309" t="s">
        <v>786</v>
      </c>
      <c r="B147" s="404">
        <f>Resultado!N616</f>
        <v>0</v>
      </c>
      <c r="C147" s="404"/>
      <c r="D147" s="404"/>
      <c r="E147" s="404"/>
      <c r="F147" s="404">
        <f t="shared" si="29"/>
        <v>0</v>
      </c>
      <c r="G147" s="407" t="s">
        <v>416</v>
      </c>
      <c r="H147" s="345"/>
      <c r="I147" s="405"/>
      <c r="J147" s="380"/>
      <c r="Y147" s="133"/>
      <c r="Z147" s="133"/>
    </row>
    <row r="148" spans="1:26" s="22" customFormat="1" ht="12.75">
      <c r="A148" s="309" t="s">
        <v>787</v>
      </c>
      <c r="B148" s="404">
        <f>Resultado!N617</f>
        <v>500000</v>
      </c>
      <c r="C148" s="404"/>
      <c r="D148" s="404"/>
      <c r="E148" s="404"/>
      <c r="F148" s="404">
        <f t="shared" si="29"/>
        <v>500000</v>
      </c>
      <c r="G148" s="407" t="s">
        <v>416</v>
      </c>
      <c r="H148" s="345"/>
      <c r="I148" s="405"/>
      <c r="J148" s="380"/>
      <c r="Y148" s="133"/>
      <c r="Z148" s="133"/>
    </row>
    <row r="149" spans="1:26" s="22" customFormat="1" ht="12.75">
      <c r="A149" s="309" t="s">
        <v>788</v>
      </c>
      <c r="B149" s="404">
        <f>Resultado!N618</f>
        <v>150000</v>
      </c>
      <c r="C149" s="404"/>
      <c r="D149" s="404"/>
      <c r="E149" s="404"/>
      <c r="F149" s="404">
        <f t="shared" si="29"/>
        <v>150000</v>
      </c>
      <c r="G149" s="407" t="s">
        <v>416</v>
      </c>
      <c r="H149" s="345"/>
      <c r="I149" s="405"/>
      <c r="J149" s="380"/>
      <c r="Y149" s="133"/>
      <c r="Z149" s="133"/>
    </row>
    <row r="150" spans="1:26" s="22" customFormat="1" ht="12.75" hidden="1">
      <c r="A150" s="309" t="s">
        <v>876</v>
      </c>
      <c r="B150" s="404">
        <f>Resultado!N619</f>
        <v>0</v>
      </c>
      <c r="C150" s="404"/>
      <c r="D150" s="404"/>
      <c r="E150" s="404"/>
      <c r="F150" s="404">
        <f t="shared" si="29"/>
        <v>0</v>
      </c>
      <c r="G150" s="407" t="s">
        <v>416</v>
      </c>
      <c r="H150" s="345"/>
      <c r="I150" s="405"/>
      <c r="J150" s="380"/>
      <c r="Y150" s="133"/>
      <c r="Z150" s="133"/>
    </row>
    <row r="151" spans="1:26" s="22" customFormat="1" ht="12.75" hidden="1">
      <c r="A151" s="309" t="s">
        <v>880</v>
      </c>
      <c r="B151" s="404">
        <f>Resultado!N620</f>
        <v>0</v>
      </c>
      <c r="C151" s="404"/>
      <c r="D151" s="404"/>
      <c r="E151" s="404"/>
      <c r="F151" s="404">
        <f t="shared" si="29"/>
        <v>0</v>
      </c>
      <c r="G151" s="407" t="s">
        <v>416</v>
      </c>
      <c r="H151" s="345"/>
      <c r="I151" s="405"/>
      <c r="J151" s="380"/>
      <c r="Y151" s="133"/>
      <c r="Z151" s="133"/>
    </row>
    <row r="152" spans="1:26" s="22" customFormat="1" ht="12.75" hidden="1">
      <c r="A152" s="309" t="s">
        <v>881</v>
      </c>
      <c r="B152" s="404">
        <f>Resultado!N621</f>
        <v>0</v>
      </c>
      <c r="C152" s="404"/>
      <c r="D152" s="404"/>
      <c r="E152" s="404"/>
      <c r="F152" s="404">
        <f t="shared" si="29"/>
        <v>0</v>
      </c>
      <c r="G152" s="407" t="s">
        <v>416</v>
      </c>
      <c r="H152" s="345"/>
      <c r="I152" s="405"/>
      <c r="J152" s="380"/>
      <c r="Y152" s="133"/>
      <c r="Z152" s="133"/>
    </row>
    <row r="153" spans="1:26" s="22" customFormat="1" ht="12.75" hidden="1">
      <c r="A153" s="309" t="s">
        <v>882</v>
      </c>
      <c r="B153" s="404">
        <f>Resultado!N622</f>
        <v>0</v>
      </c>
      <c r="C153" s="404"/>
      <c r="D153" s="404"/>
      <c r="E153" s="404"/>
      <c r="F153" s="404">
        <f t="shared" si="29"/>
        <v>0</v>
      </c>
      <c r="G153" s="407" t="s">
        <v>416</v>
      </c>
      <c r="H153" s="345"/>
      <c r="I153" s="405"/>
      <c r="J153" s="380"/>
      <c r="Y153" s="133"/>
      <c r="Z153" s="133"/>
    </row>
    <row r="154" spans="1:26" s="22" customFormat="1" ht="12.75">
      <c r="A154" s="309" t="s">
        <v>902</v>
      </c>
      <c r="B154" s="404">
        <f>Resultado!N623</f>
        <v>1256350</v>
      </c>
      <c r="C154" s="404"/>
      <c r="D154" s="404"/>
      <c r="E154" s="404"/>
      <c r="F154" s="404">
        <f t="shared" si="29"/>
        <v>1256350</v>
      </c>
      <c r="G154" s="407" t="s">
        <v>416</v>
      </c>
      <c r="H154" s="345"/>
      <c r="I154" s="405"/>
      <c r="J154" s="380"/>
      <c r="Y154" s="133"/>
      <c r="Z154" s="133"/>
    </row>
    <row r="155" spans="1:26" s="22" customFormat="1" ht="12.75">
      <c r="A155" s="309" t="s">
        <v>988</v>
      </c>
      <c r="B155" s="404">
        <f>Resultado!N624</f>
        <v>1350000.0399999993</v>
      </c>
      <c r="C155" s="404"/>
      <c r="D155" s="404"/>
      <c r="E155" s="404"/>
      <c r="F155" s="404">
        <f t="shared" si="29"/>
        <v>1350000.0399999993</v>
      </c>
      <c r="G155" s="407" t="s">
        <v>416</v>
      </c>
      <c r="H155" s="345"/>
      <c r="I155" s="405"/>
      <c r="J155" s="380"/>
      <c r="Y155" s="133"/>
      <c r="Z155" s="133"/>
    </row>
    <row r="156" spans="1:26" s="11" customFormat="1" ht="12.75">
      <c r="A156" s="309" t="s">
        <v>904</v>
      </c>
      <c r="B156" s="404">
        <f>Resultado!N625</f>
        <v>1100000.01</v>
      </c>
      <c r="C156" s="384"/>
      <c r="D156" s="384"/>
      <c r="E156" s="384"/>
      <c r="F156" s="404">
        <f t="shared" si="29"/>
        <v>1100000.01</v>
      </c>
      <c r="G156" s="407" t="s">
        <v>416</v>
      </c>
      <c r="H156" s="345">
        <f aca="true" t="shared" si="30" ref="H156:H164">B156-E156</f>
        <v>1100000.01</v>
      </c>
      <c r="I156" s="405" t="e">
        <f aca="true" t="shared" si="31" ref="I156:I164">(B156-E156)/E156</f>
        <v>#DIV/0!</v>
      </c>
      <c r="J156" s="87"/>
      <c r="Y156" s="147"/>
      <c r="Z156" s="133"/>
    </row>
    <row r="157" spans="1:26" s="22" customFormat="1" ht="12.75">
      <c r="A157" s="309" t="s">
        <v>737</v>
      </c>
      <c r="B157" s="404">
        <f>Resultado!N626</f>
        <v>4000000</v>
      </c>
      <c r="C157" s="404"/>
      <c r="D157" s="404">
        <f>'[6]Ejecución Presupuestaria'!$CF$174</f>
        <v>48026</v>
      </c>
      <c r="E157" s="404"/>
      <c r="F157" s="404">
        <f t="shared" si="29"/>
        <v>3951974</v>
      </c>
      <c r="G157" s="405">
        <f>(B157-D157)/D157</f>
        <v>82.28821888143922</v>
      </c>
      <c r="H157" s="345">
        <f t="shared" si="30"/>
        <v>4000000</v>
      </c>
      <c r="I157" s="405" t="e">
        <f t="shared" si="31"/>
        <v>#DIV/0!</v>
      </c>
      <c r="J157" s="380"/>
      <c r="Y157" s="145"/>
      <c r="Z157" s="145"/>
    </row>
    <row r="158" spans="1:26" s="22" customFormat="1" ht="12.75" hidden="1">
      <c r="A158" s="309" t="s">
        <v>266</v>
      </c>
      <c r="B158" s="404">
        <f>Resultado!N627</f>
        <v>0</v>
      </c>
      <c r="C158" s="404"/>
      <c r="D158" s="404">
        <f>'[6]Ejecución Presupuestaria'!$CF$176</f>
        <v>0</v>
      </c>
      <c r="E158" s="404"/>
      <c r="F158" s="404">
        <f t="shared" si="29"/>
        <v>0</v>
      </c>
      <c r="G158" s="407" t="s">
        <v>416</v>
      </c>
      <c r="H158" s="345">
        <f t="shared" si="30"/>
        <v>0</v>
      </c>
      <c r="I158" s="405" t="e">
        <f t="shared" si="31"/>
        <v>#DIV/0!</v>
      </c>
      <c r="J158" s="380"/>
      <c r="Y158" s="133"/>
      <c r="Z158" s="133"/>
    </row>
    <row r="159" spans="1:26" s="22" customFormat="1" ht="12.75" hidden="1">
      <c r="A159" s="301" t="s">
        <v>253</v>
      </c>
      <c r="B159" s="404">
        <f>Resultado!N628</f>
        <v>0</v>
      </c>
      <c r="C159" s="404"/>
      <c r="D159" s="404"/>
      <c r="E159" s="404"/>
      <c r="F159" s="404">
        <f t="shared" si="29"/>
        <v>0</v>
      </c>
      <c r="G159" s="407" t="s">
        <v>416</v>
      </c>
      <c r="H159" s="345">
        <f t="shared" si="30"/>
        <v>0</v>
      </c>
      <c r="I159" s="405" t="e">
        <f t="shared" si="31"/>
        <v>#DIV/0!</v>
      </c>
      <c r="J159" s="380"/>
      <c r="Y159" s="133"/>
      <c r="Z159" s="133"/>
    </row>
    <row r="160" spans="1:26" s="22" customFormat="1" ht="12.75" hidden="1">
      <c r="A160" s="346" t="s">
        <v>735</v>
      </c>
      <c r="B160" s="404">
        <f>Resultado!N629</f>
        <v>0</v>
      </c>
      <c r="C160" s="404"/>
      <c r="D160" s="404"/>
      <c r="E160" s="404"/>
      <c r="F160" s="404">
        <f t="shared" si="29"/>
        <v>0</v>
      </c>
      <c r="G160" s="407" t="s">
        <v>416</v>
      </c>
      <c r="H160" s="345">
        <f t="shared" si="30"/>
        <v>0</v>
      </c>
      <c r="I160" s="405" t="e">
        <f t="shared" si="31"/>
        <v>#DIV/0!</v>
      </c>
      <c r="J160" s="380"/>
      <c r="Y160" s="145"/>
      <c r="Z160" s="145"/>
    </row>
    <row r="161" spans="1:26" s="22" customFormat="1" ht="12.75" hidden="1">
      <c r="A161" s="346" t="s">
        <v>254</v>
      </c>
      <c r="B161" s="404">
        <f>Resultado!N630</f>
        <v>0</v>
      </c>
      <c r="C161" s="404"/>
      <c r="D161" s="404"/>
      <c r="E161" s="404"/>
      <c r="F161" s="404">
        <f t="shared" si="29"/>
        <v>0</v>
      </c>
      <c r="G161" s="407" t="s">
        <v>416</v>
      </c>
      <c r="H161" s="345">
        <f t="shared" si="30"/>
        <v>0</v>
      </c>
      <c r="I161" s="405" t="e">
        <f t="shared" si="31"/>
        <v>#DIV/0!</v>
      </c>
      <c r="J161" s="380"/>
      <c r="Y161" s="133"/>
      <c r="Z161" s="133"/>
    </row>
    <row r="162" spans="1:26" s="22" customFormat="1" ht="12.75" hidden="1">
      <c r="A162" s="346" t="s">
        <v>255</v>
      </c>
      <c r="B162" s="404">
        <f>Resultado!N631</f>
        <v>0</v>
      </c>
      <c r="C162" s="404"/>
      <c r="D162" s="404"/>
      <c r="E162" s="404"/>
      <c r="F162" s="404">
        <f t="shared" si="29"/>
        <v>0</v>
      </c>
      <c r="G162" s="407" t="s">
        <v>416</v>
      </c>
      <c r="H162" s="345">
        <f t="shared" si="30"/>
        <v>0</v>
      </c>
      <c r="I162" s="405" t="e">
        <f t="shared" si="31"/>
        <v>#DIV/0!</v>
      </c>
      <c r="J162" s="380"/>
      <c r="Y162" s="133"/>
      <c r="Z162" s="133"/>
    </row>
    <row r="163" spans="1:26" s="22" customFormat="1" ht="12.75" hidden="1">
      <c r="A163" s="346" t="s">
        <v>260</v>
      </c>
      <c r="B163" s="163">
        <f>Resultado!N632</f>
        <v>0</v>
      </c>
      <c r="C163" s="163"/>
      <c r="D163" s="404">
        <f>'[6]Ejecución Presupuestaria'!$CF$181</f>
        <v>105593.95</v>
      </c>
      <c r="E163" s="404">
        <v>1200000</v>
      </c>
      <c r="F163" s="404">
        <f>B163-D163</f>
        <v>-105593.95</v>
      </c>
      <c r="G163" s="405">
        <f>(B163-D163)/D163</f>
        <v>-1</v>
      </c>
      <c r="H163" s="345">
        <f t="shared" si="30"/>
        <v>-1200000</v>
      </c>
      <c r="I163" s="405">
        <f t="shared" si="31"/>
        <v>-1</v>
      </c>
      <c r="J163" s="380"/>
      <c r="Y163" s="145"/>
      <c r="Z163" s="145"/>
    </row>
    <row r="164" spans="1:26" s="22" customFormat="1" ht="12.75" hidden="1">
      <c r="A164" s="301" t="s">
        <v>256</v>
      </c>
      <c r="B164" s="404">
        <f>Resultado!N633</f>
        <v>0</v>
      </c>
      <c r="C164" s="404"/>
      <c r="D164" s="404">
        <v>40000</v>
      </c>
      <c r="E164" s="404">
        <v>0</v>
      </c>
      <c r="F164" s="404">
        <f t="shared" si="29"/>
        <v>-40000</v>
      </c>
      <c r="G164" s="405">
        <f>(B164-D164)/D164</f>
        <v>-1</v>
      </c>
      <c r="H164" s="345">
        <f t="shared" si="30"/>
        <v>0</v>
      </c>
      <c r="I164" s="405" t="e">
        <f t="shared" si="31"/>
        <v>#DIV/0!</v>
      </c>
      <c r="J164" s="380"/>
      <c r="Y164" s="133"/>
      <c r="Z164" s="133"/>
    </row>
    <row r="165" spans="1:26" s="11" customFormat="1" ht="12.75" hidden="1">
      <c r="A165" s="309" t="s">
        <v>111</v>
      </c>
      <c r="B165" s="384"/>
      <c r="C165" s="301"/>
      <c r="D165" s="404"/>
      <c r="E165" s="404"/>
      <c r="F165" s="404">
        <f aca="true" t="shared" si="32" ref="F165:F171">B165-D165</f>
        <v>0</v>
      </c>
      <c r="G165" s="407" t="s">
        <v>416</v>
      </c>
      <c r="H165" s="303"/>
      <c r="I165" s="406"/>
      <c r="J165" s="87"/>
      <c r="Y165" s="145"/>
      <c r="Z165" s="145"/>
    </row>
    <row r="166" spans="1:26" s="22" customFormat="1" ht="12.75">
      <c r="A166" s="450" t="s">
        <v>509</v>
      </c>
      <c r="B166" s="384">
        <f>SUM(B169:B176)</f>
        <v>26880000.04</v>
      </c>
      <c r="C166" s="384">
        <f>SUM(C169:C176)</f>
        <v>41896868</v>
      </c>
      <c r="D166" s="384">
        <f>SUM(D169:D176)</f>
        <v>24292853.88</v>
      </c>
      <c r="E166" s="384"/>
      <c r="F166" s="384">
        <f t="shared" si="32"/>
        <v>2587146.16</v>
      </c>
      <c r="G166" s="406">
        <f aca="true" t="shared" si="33" ref="G166:G171">(B166-D166)/D166</f>
        <v>0.10649823906156884</v>
      </c>
      <c r="H166" s="345">
        <f>B166-E169</f>
        <v>26880000.04</v>
      </c>
      <c r="I166" s="407" t="s">
        <v>416</v>
      </c>
      <c r="J166" s="384">
        <f>SUM(J167:J176)</f>
        <v>16208747.43</v>
      </c>
      <c r="Y166" s="133"/>
      <c r="Z166" s="133"/>
    </row>
    <row r="167" spans="1:26" s="22" customFormat="1" ht="12.75" hidden="1">
      <c r="A167" s="309" t="s">
        <v>704</v>
      </c>
      <c r="B167" s="384">
        <f>Resultado!N635</f>
        <v>0</v>
      </c>
      <c r="C167" s="384"/>
      <c r="D167" s="345">
        <f aca="true" t="shared" si="34" ref="D167:D176">(J167/7)*12</f>
        <v>1714.2857142857142</v>
      </c>
      <c r="E167" s="384"/>
      <c r="F167" s="404">
        <f t="shared" si="32"/>
        <v>-1714.2857142857142</v>
      </c>
      <c r="G167" s="405">
        <f t="shared" si="33"/>
        <v>-1</v>
      </c>
      <c r="H167" s="345"/>
      <c r="I167" s="407"/>
      <c r="J167" s="380">
        <v>1000</v>
      </c>
      <c r="Y167" s="133"/>
      <c r="Z167" s="133"/>
    </row>
    <row r="168" spans="1:26" s="22" customFormat="1" ht="12.75" hidden="1">
      <c r="A168" s="309" t="s">
        <v>703</v>
      </c>
      <c r="B168" s="384">
        <f>Resultado!N636</f>
        <v>0</v>
      </c>
      <c r="C168" s="384"/>
      <c r="D168" s="345">
        <f t="shared" si="34"/>
        <v>3491856</v>
      </c>
      <c r="E168" s="384"/>
      <c r="F168" s="404">
        <f t="shared" si="32"/>
        <v>-3491856</v>
      </c>
      <c r="G168" s="405">
        <f t="shared" si="33"/>
        <v>-1</v>
      </c>
      <c r="H168" s="345"/>
      <c r="I168" s="407"/>
      <c r="J168" s="380">
        <v>2036916</v>
      </c>
      <c r="Y168" s="133"/>
      <c r="Z168" s="133"/>
    </row>
    <row r="169" spans="1:26" s="11" customFormat="1" ht="12.75">
      <c r="A169" s="309" t="s">
        <v>899</v>
      </c>
      <c r="B169" s="404">
        <f>Resultado!N637</f>
        <v>5000000.04</v>
      </c>
      <c r="C169" s="301"/>
      <c r="D169" s="345">
        <f t="shared" si="34"/>
        <v>4582116.651428571</v>
      </c>
      <c r="E169" s="404">
        <v>0</v>
      </c>
      <c r="F169" s="404">
        <f t="shared" si="32"/>
        <v>417883.38857142907</v>
      </c>
      <c r="G169" s="405">
        <f t="shared" si="33"/>
        <v>0.09119876693692316</v>
      </c>
      <c r="H169" s="345">
        <f>B169-E170</f>
        <v>4300000.04</v>
      </c>
      <c r="I169" s="405">
        <f>(B169-E170)/E170</f>
        <v>6.1428572</v>
      </c>
      <c r="J169" s="87">
        <v>2672901.38</v>
      </c>
      <c r="Y169" s="145"/>
      <c r="Z169" s="145"/>
    </row>
    <row r="170" spans="1:26" s="22" customFormat="1" ht="12.75" hidden="1">
      <c r="A170" s="309" t="s">
        <v>900</v>
      </c>
      <c r="B170" s="404">
        <f>Resultado!N638</f>
        <v>0</v>
      </c>
      <c r="C170" s="346"/>
      <c r="D170" s="345">
        <f t="shared" si="34"/>
        <v>4285.714285714286</v>
      </c>
      <c r="E170" s="404">
        <v>700000</v>
      </c>
      <c r="F170" s="404">
        <f t="shared" si="32"/>
        <v>-4285.714285714286</v>
      </c>
      <c r="G170" s="405">
        <f t="shared" si="33"/>
        <v>-1</v>
      </c>
      <c r="H170" s="345">
        <f>B170-E171</f>
        <v>-23620000.411999993</v>
      </c>
      <c r="I170" s="405">
        <f>(B170-E171)/E171</f>
        <v>-1</v>
      </c>
      <c r="J170" s="380">
        <v>2500</v>
      </c>
      <c r="Y170" s="145"/>
      <c r="Z170" s="145"/>
    </row>
    <row r="171" spans="1:26" s="22" customFormat="1" ht="12.75">
      <c r="A171" s="309" t="s">
        <v>991</v>
      </c>
      <c r="B171" s="404">
        <f>Resultado!N642</f>
        <v>21880000</v>
      </c>
      <c r="C171" s="404">
        <v>41896868</v>
      </c>
      <c r="D171" s="345">
        <f t="shared" si="34"/>
        <v>19706451.514285713</v>
      </c>
      <c r="E171" s="404">
        <v>23620000.411999993</v>
      </c>
      <c r="F171" s="404">
        <f t="shared" si="32"/>
        <v>2173548.4857142866</v>
      </c>
      <c r="G171" s="405">
        <f t="shared" si="33"/>
        <v>0.11029628972718022</v>
      </c>
      <c r="H171" s="345"/>
      <c r="I171" s="405"/>
      <c r="J171" s="380">
        <v>11495430.05</v>
      </c>
      <c r="Y171" s="145"/>
      <c r="Z171" s="145"/>
    </row>
    <row r="172" spans="1:26" s="22" customFormat="1" ht="12.75" hidden="1">
      <c r="A172" s="309" t="s">
        <v>562</v>
      </c>
      <c r="B172" s="404"/>
      <c r="C172" s="404"/>
      <c r="D172" s="345">
        <f t="shared" si="34"/>
        <v>0</v>
      </c>
      <c r="E172" s="404"/>
      <c r="F172" s="404">
        <f>B171-D172</f>
        <v>21880000</v>
      </c>
      <c r="G172" s="405" t="e">
        <f>(B171-D172)/D172</f>
        <v>#DIV/0!</v>
      </c>
      <c r="H172" s="345"/>
      <c r="I172" s="405"/>
      <c r="J172" s="380"/>
      <c r="Y172" s="145"/>
      <c r="Z172" s="145"/>
    </row>
    <row r="173" spans="1:26" s="22" customFormat="1" ht="12.75" hidden="1">
      <c r="A173" s="309" t="s">
        <v>508</v>
      </c>
      <c r="B173" s="404">
        <f>Resultado!N683</f>
        <v>0</v>
      </c>
      <c r="C173" s="404"/>
      <c r="D173" s="345">
        <f t="shared" si="34"/>
        <v>0</v>
      </c>
      <c r="E173" s="404"/>
      <c r="F173" s="404">
        <f>B172-D173</f>
        <v>0</v>
      </c>
      <c r="G173" s="407" t="s">
        <v>416</v>
      </c>
      <c r="H173" s="345"/>
      <c r="I173" s="405"/>
      <c r="J173" s="380"/>
      <c r="Y173" s="145"/>
      <c r="Z173" s="145"/>
    </row>
    <row r="174" spans="1:26" s="22" customFormat="1" ht="12.75" hidden="1">
      <c r="A174" s="309" t="s">
        <v>198</v>
      </c>
      <c r="B174" s="404"/>
      <c r="C174" s="404">
        <v>0</v>
      </c>
      <c r="D174" s="345">
        <f t="shared" si="34"/>
        <v>0</v>
      </c>
      <c r="E174" s="404"/>
      <c r="F174" s="404">
        <f>B173-D174</f>
        <v>0</v>
      </c>
      <c r="G174" s="407" t="s">
        <v>416</v>
      </c>
      <c r="H174" s="345">
        <f>B174-E175</f>
        <v>-1140000</v>
      </c>
      <c r="I174" s="405">
        <f>(B174-E175)/E175</f>
        <v>-1</v>
      </c>
      <c r="J174" s="380"/>
      <c r="Y174" s="133"/>
      <c r="Z174" s="133"/>
    </row>
    <row r="175" spans="1:26" s="22" customFormat="1" ht="12.75" hidden="1">
      <c r="A175" s="309" t="s">
        <v>901</v>
      </c>
      <c r="B175" s="404">
        <f>Resultado!N682</f>
        <v>0</v>
      </c>
      <c r="C175" s="404"/>
      <c r="D175" s="345">
        <f t="shared" si="34"/>
        <v>0</v>
      </c>
      <c r="E175" s="404">
        <v>1140000</v>
      </c>
      <c r="F175" s="404">
        <f>B175-D175</f>
        <v>0</v>
      </c>
      <c r="G175" s="407" t="s">
        <v>416</v>
      </c>
      <c r="H175" s="345">
        <f>B175-E176</f>
        <v>-2400000</v>
      </c>
      <c r="I175" s="405">
        <f>(B175-E176)/E176</f>
        <v>-1</v>
      </c>
      <c r="J175" s="380"/>
      <c r="Y175" s="133"/>
      <c r="Z175" s="133"/>
    </row>
    <row r="176" spans="1:26" s="11" customFormat="1" ht="12.75" hidden="1">
      <c r="A176" s="309" t="s">
        <v>319</v>
      </c>
      <c r="B176" s="384"/>
      <c r="C176" s="404"/>
      <c r="D176" s="345">
        <f t="shared" si="34"/>
        <v>0</v>
      </c>
      <c r="E176" s="404">
        <v>2400000</v>
      </c>
      <c r="F176" s="404">
        <f>B175-D176</f>
        <v>0</v>
      </c>
      <c r="G176" s="407" t="s">
        <v>416</v>
      </c>
      <c r="H176" s="303"/>
      <c r="I176" s="406"/>
      <c r="J176" s="87"/>
      <c r="Y176" s="145"/>
      <c r="Z176" s="145"/>
    </row>
    <row r="177" spans="1:26" s="22" customFormat="1" ht="12.75">
      <c r="A177" s="450" t="s">
        <v>506</v>
      </c>
      <c r="B177" s="384">
        <f>B178+B179</f>
        <v>5021226.721520001</v>
      </c>
      <c r="C177" s="384">
        <f>C178+C179</f>
        <v>38325000</v>
      </c>
      <c r="D177" s="384">
        <f>D178+D179</f>
        <v>18199735.028571427</v>
      </c>
      <c r="E177" s="384"/>
      <c r="F177" s="404">
        <f>B177-D177</f>
        <v>-13178508.307051426</v>
      </c>
      <c r="G177" s="405">
        <f>(B177-D177)/D177</f>
        <v>-0.724104405166489</v>
      </c>
      <c r="H177" s="345">
        <f>B177-E178</f>
        <v>4706726.721520001</v>
      </c>
      <c r="I177" s="405">
        <f>(B177-E178)/E178</f>
        <v>14.965744742511927</v>
      </c>
      <c r="J177" s="384">
        <f>J178+J179</f>
        <v>10616512.1</v>
      </c>
      <c r="Y177" s="133"/>
      <c r="Z177" s="133"/>
    </row>
    <row r="178" spans="1:26" s="11" customFormat="1" ht="12.75">
      <c r="A178" s="309" t="s">
        <v>203</v>
      </c>
      <c r="B178" s="404">
        <f>Resultado!N685</f>
        <v>4925226.721520001</v>
      </c>
      <c r="C178" s="404">
        <v>38325000</v>
      </c>
      <c r="D178" s="345">
        <f>(J178/7)*12</f>
        <v>18108573.72</v>
      </c>
      <c r="E178" s="404">
        <v>314500</v>
      </c>
      <c r="F178" s="404">
        <f>B178-D178</f>
        <v>-13183346.998479998</v>
      </c>
      <c r="G178" s="405">
        <f>(B178-D178)/D178</f>
        <v>-0.7280168610915868</v>
      </c>
      <c r="H178" s="303">
        <f>B178-E179</f>
        <v>4625226.721520001</v>
      </c>
      <c r="I178" s="406">
        <f>(B178-E179)/E179</f>
        <v>15.41742240506667</v>
      </c>
      <c r="J178" s="87">
        <v>10563334.67</v>
      </c>
      <c r="Y178" s="133"/>
      <c r="Z178" s="133"/>
    </row>
    <row r="179" spans="1:26" s="11" customFormat="1" ht="12.75">
      <c r="A179" s="309" t="s">
        <v>537</v>
      </c>
      <c r="B179" s="345">
        <f>Resultado!N693</f>
        <v>96000</v>
      </c>
      <c r="C179" s="384"/>
      <c r="D179" s="345">
        <f>(J179/7)*12</f>
        <v>91161.30857142857</v>
      </c>
      <c r="E179" s="384">
        <v>300000</v>
      </c>
      <c r="F179" s="384">
        <f>B179-D179</f>
        <v>4838.69142857143</v>
      </c>
      <c r="G179" s="406">
        <f>(B179-D179)/D179</f>
        <v>0.053078345455957555</v>
      </c>
      <c r="H179" s="303"/>
      <c r="I179" s="401"/>
      <c r="J179" s="87">
        <v>53177.43</v>
      </c>
      <c r="Y179" s="145"/>
      <c r="Z179" s="145"/>
    </row>
    <row r="180" spans="1:26" s="22" customFormat="1" ht="12.75" hidden="1">
      <c r="A180" s="301" t="s">
        <v>572</v>
      </c>
      <c r="B180" s="384">
        <f>Resultado!N694</f>
        <v>0</v>
      </c>
      <c r="C180" s="384">
        <v>0</v>
      </c>
      <c r="D180" s="345">
        <f>(J180/7)*12</f>
        <v>0</v>
      </c>
      <c r="E180" s="303"/>
      <c r="F180" s="384">
        <f>B180-D180</f>
        <v>0</v>
      </c>
      <c r="G180" s="407" t="s">
        <v>416</v>
      </c>
      <c r="H180" s="345">
        <f>B180-E181</f>
        <v>-300000</v>
      </c>
      <c r="I180" s="405">
        <f>(B180-E181)/E181</f>
        <v>-1</v>
      </c>
      <c r="J180" s="380"/>
      <c r="Y180" s="133"/>
      <c r="Z180" s="133"/>
    </row>
    <row r="181" spans="1:26" s="22" customFormat="1" ht="12.75" hidden="1">
      <c r="A181" s="450" t="s">
        <v>168</v>
      </c>
      <c r="B181" s="384"/>
      <c r="C181" s="384"/>
      <c r="D181" s="404">
        <v>0</v>
      </c>
      <c r="E181" s="404">
        <v>300000</v>
      </c>
      <c r="F181" s="404">
        <f>B181-D181</f>
        <v>0</v>
      </c>
      <c r="G181" s="407" t="s">
        <v>416</v>
      </c>
      <c r="H181" s="345"/>
      <c r="I181" s="405"/>
      <c r="J181" s="380"/>
      <c r="Y181" s="133"/>
      <c r="Z181" s="133"/>
    </row>
    <row r="182" spans="1:29" s="241" customFormat="1" ht="22.5" customHeight="1">
      <c r="A182" s="450"/>
      <c r="B182" s="384"/>
      <c r="C182" s="384"/>
      <c r="D182" s="404"/>
      <c r="E182" s="404"/>
      <c r="F182" s="404"/>
      <c r="G182" s="407"/>
      <c r="H182" s="357">
        <f>B183-E183</f>
        <v>33655526.809999995</v>
      </c>
      <c r="I182" s="412">
        <f>(B183-E183)/E183</f>
        <v>1.4046407978644189</v>
      </c>
      <c r="J182" s="387"/>
      <c r="Y182" s="243">
        <f>Flujo!N27</f>
        <v>57615764.09000002</v>
      </c>
      <c r="Z182" s="243">
        <f>Y182-B183</f>
        <v>0</v>
      </c>
      <c r="AA182" s="242" t="e">
        <f>#REF!</f>
        <v>#REF!</v>
      </c>
      <c r="AB182" s="242">
        <f>'[3]Ejecución Indotel'!$BP$634</f>
        <v>20799023.55</v>
      </c>
      <c r="AC182" s="242" t="e">
        <f>AB182-AA182</f>
        <v>#REF!</v>
      </c>
    </row>
    <row r="183" spans="1:26" s="11" customFormat="1" ht="12.75">
      <c r="A183" s="451" t="s">
        <v>18</v>
      </c>
      <c r="B183" s="357">
        <f>B185+B190+B193+B204+B214+B203+B213+B207+B216+B220+B231+B229</f>
        <v>57615764.089999996</v>
      </c>
      <c r="C183" s="357">
        <f>C185+C190+C193+C204+C214+C203+C213+C207+C216+C220+C231+C229</f>
        <v>34564152</v>
      </c>
      <c r="D183" s="357">
        <f>D185+D190+D193+D204+D214+D203+D213+D207+D216+D220+D231+D229</f>
        <v>44440059.141428575</v>
      </c>
      <c r="E183" s="357">
        <f>E184+E190+E193+E204+E214+E203+E213+E211+E212+E220+E231+E229+E218</f>
        <v>23960237.28</v>
      </c>
      <c r="F183" s="357">
        <f aca="true" t="shared" si="35" ref="F183:F190">B183-D183</f>
        <v>13175704.948571421</v>
      </c>
      <c r="G183" s="412">
        <f aca="true" t="shared" si="36" ref="G183:G190">(B183-D183)/D183</f>
        <v>0.29648261508024343</v>
      </c>
      <c r="H183" s="303">
        <f>B184-E184</f>
        <v>11478400</v>
      </c>
      <c r="I183" s="415">
        <f>(B184-E184)/E184</f>
        <v>2.646622089001614</v>
      </c>
      <c r="J183" s="357">
        <f>J185+J190+J193+J204+J214+J203+J213+J207+J216+J220+J231+J229</f>
        <v>26333232.81</v>
      </c>
      <c r="Y183" s="133"/>
      <c r="Z183" s="133"/>
    </row>
    <row r="184" spans="1:26" s="22" customFormat="1" ht="12.75" hidden="1">
      <c r="A184" s="455" t="s">
        <v>510</v>
      </c>
      <c r="B184" s="303">
        <f>SUM(B186:B191)</f>
        <v>15815400</v>
      </c>
      <c r="C184" s="303">
        <v>6669786.04</v>
      </c>
      <c r="D184" s="303">
        <f>SUM(D186:D189)</f>
        <v>5426632.371428572</v>
      </c>
      <c r="E184" s="303">
        <v>4337000</v>
      </c>
      <c r="F184" s="303">
        <f t="shared" si="35"/>
        <v>10388767.628571428</v>
      </c>
      <c r="G184" s="406">
        <f t="shared" si="36"/>
        <v>1.9144041677244785</v>
      </c>
      <c r="H184" s="345">
        <f>B185-E185</f>
        <v>1446900</v>
      </c>
      <c r="I184" s="403">
        <f>(B185-E185)/E185</f>
        <v>0.33361770809315194</v>
      </c>
      <c r="J184" s="380"/>
      <c r="Y184" s="133"/>
      <c r="Z184" s="133"/>
    </row>
    <row r="185" spans="1:26" s="22" customFormat="1" ht="12.75" customHeight="1">
      <c r="A185" s="453" t="s">
        <v>160</v>
      </c>
      <c r="B185" s="303">
        <f>SUM(B186:B189)</f>
        <v>5783900</v>
      </c>
      <c r="C185" s="303">
        <f>SUM(C186:C189)</f>
        <v>4529700</v>
      </c>
      <c r="D185" s="303">
        <f>'[6]Ejecución Presupuestaria'!$CF$194</f>
        <v>5186324.32</v>
      </c>
      <c r="E185" s="345">
        <v>4337000</v>
      </c>
      <c r="F185" s="345">
        <f t="shared" si="35"/>
        <v>597575.6799999997</v>
      </c>
      <c r="G185" s="405">
        <f t="shared" si="36"/>
        <v>0.11522142525787891</v>
      </c>
      <c r="H185" s="345">
        <f>B186-E186</f>
        <v>1755000</v>
      </c>
      <c r="I185" s="405">
        <f>(B186-E186)/E186</f>
        <v>0.44804697472555527</v>
      </c>
      <c r="J185" s="303">
        <f>SUM(J186:J189)</f>
        <v>3165535.55</v>
      </c>
      <c r="Y185" s="133" t="e">
        <f>B183-Resultado!N696-#REF!-#REF!</f>
        <v>#REF!</v>
      </c>
      <c r="Z185" s="133"/>
    </row>
    <row r="186" spans="1:26" s="22" customFormat="1" ht="12.75">
      <c r="A186" s="309" t="s">
        <v>113</v>
      </c>
      <c r="B186" s="404">
        <f>Resultado!N698</f>
        <v>5672000</v>
      </c>
      <c r="C186" s="404">
        <v>4088700</v>
      </c>
      <c r="D186" s="345">
        <f>(J186/7)*12</f>
        <v>5190640.371428572</v>
      </c>
      <c r="E186" s="404">
        <v>3917000</v>
      </c>
      <c r="F186" s="404">
        <f t="shared" si="35"/>
        <v>481359.62857142836</v>
      </c>
      <c r="G186" s="405">
        <f t="shared" si="36"/>
        <v>0.09273607765643534</v>
      </c>
      <c r="H186" s="345">
        <f>B187-E187</f>
        <v>111900</v>
      </c>
      <c r="I186" s="405" t="e">
        <f>(B187-E187)/E187</f>
        <v>#DIV/0!</v>
      </c>
      <c r="J186" s="380">
        <v>3027873.55</v>
      </c>
      <c r="Y186" s="133"/>
      <c r="Z186" s="133"/>
    </row>
    <row r="187" spans="1:26" s="22" customFormat="1" ht="12.75">
      <c r="A187" s="309" t="s">
        <v>171</v>
      </c>
      <c r="B187" s="404">
        <f>Resultado!N708</f>
        <v>111900</v>
      </c>
      <c r="C187" s="404">
        <v>441000</v>
      </c>
      <c r="D187" s="345">
        <f>(J187/7)*12</f>
        <v>151032</v>
      </c>
      <c r="E187" s="404">
        <v>0</v>
      </c>
      <c r="F187" s="404">
        <f t="shared" si="35"/>
        <v>-39132</v>
      </c>
      <c r="G187" s="405">
        <f t="shared" si="36"/>
        <v>-0.2590974098204354</v>
      </c>
      <c r="H187" s="345" t="e">
        <f>#REF!-#REF!</f>
        <v>#REF!</v>
      </c>
      <c r="I187" s="405" t="e">
        <f>(#REF!-#REF!)/#REF!</f>
        <v>#REF!</v>
      </c>
      <c r="J187" s="380">
        <v>88102</v>
      </c>
      <c r="Y187" s="133"/>
      <c r="Z187" s="133"/>
    </row>
    <row r="188" spans="1:26" s="22" customFormat="1" ht="12.75" hidden="1">
      <c r="A188" s="346" t="s">
        <v>631</v>
      </c>
      <c r="B188" s="404"/>
      <c r="C188" s="404"/>
      <c r="D188" s="345">
        <f>(J188/7)*12</f>
        <v>84960</v>
      </c>
      <c r="E188" s="404"/>
      <c r="F188" s="404">
        <f t="shared" si="35"/>
        <v>-84960</v>
      </c>
      <c r="G188" s="405">
        <f t="shared" si="36"/>
        <v>-1</v>
      </c>
      <c r="H188" s="345" t="e">
        <f>B191-#REF!</f>
        <v>#REF!</v>
      </c>
      <c r="I188" s="405" t="e">
        <f>(B191-#REF!)/#REF!</f>
        <v>#REF!</v>
      </c>
      <c r="J188" s="380">
        <v>49560</v>
      </c>
      <c r="Y188" s="133" t="e">
        <f>Resultado!N696+#REF!+#REF!</f>
        <v>#REF!</v>
      </c>
      <c r="Z188" s="133"/>
    </row>
    <row r="189" spans="1:26" s="11" customFormat="1" ht="12.75" hidden="1">
      <c r="A189" s="309" t="s">
        <v>171</v>
      </c>
      <c r="B189" s="404"/>
      <c r="C189" s="404"/>
      <c r="D189" s="404"/>
      <c r="E189" s="404"/>
      <c r="F189" s="404">
        <f t="shared" si="35"/>
        <v>0</v>
      </c>
      <c r="G189" s="405" t="e">
        <f t="shared" si="36"/>
        <v>#DIV/0!</v>
      </c>
      <c r="H189" s="303">
        <f>B190-E190</f>
        <v>9629600</v>
      </c>
      <c r="I189" s="406">
        <f>(B190-E190)/E190</f>
        <v>25.997840172786177</v>
      </c>
      <c r="J189" s="87"/>
      <c r="Y189" s="145"/>
      <c r="Z189" s="145"/>
    </row>
    <row r="190" spans="1:26" s="22" customFormat="1" ht="12.75">
      <c r="A190" s="450" t="s">
        <v>118</v>
      </c>
      <c r="B190" s="384">
        <f>SUM(B191:B192)</f>
        <v>10000000</v>
      </c>
      <c r="C190" s="384">
        <f>SUM(C191:C192)</f>
        <v>1060000</v>
      </c>
      <c r="D190" s="384">
        <f>SUM(D191:D192)</f>
        <v>2823726.0514285713</v>
      </c>
      <c r="E190" s="384">
        <v>370400</v>
      </c>
      <c r="F190" s="384">
        <f t="shared" si="35"/>
        <v>7176273.948571429</v>
      </c>
      <c r="G190" s="406">
        <f t="shared" si="36"/>
        <v>2.5414200307925867</v>
      </c>
      <c r="H190" s="345" t="e">
        <f>#REF!-E191</f>
        <v>#REF!</v>
      </c>
      <c r="I190" s="405" t="e">
        <f>(#REF!-E191)/E191</f>
        <v>#REF!</v>
      </c>
      <c r="J190" s="384">
        <f>SUM(J191:J192)</f>
        <v>1647173.53</v>
      </c>
      <c r="Y190" s="133"/>
      <c r="Z190" s="133"/>
    </row>
    <row r="191" spans="1:26" s="22" customFormat="1" ht="12.75">
      <c r="A191" s="309" t="s">
        <v>188</v>
      </c>
      <c r="B191" s="404">
        <f>Resultado!N725</f>
        <v>31500</v>
      </c>
      <c r="C191" s="404">
        <v>560000</v>
      </c>
      <c r="D191" s="345">
        <f>(J191/7)*12</f>
        <v>1070293.7142857143</v>
      </c>
      <c r="E191" s="404">
        <v>0</v>
      </c>
      <c r="F191" s="384">
        <f aca="true" t="shared" si="37" ref="F191:F200">B191-D191</f>
        <v>-1038793.7142857143</v>
      </c>
      <c r="G191" s="406">
        <f aca="true" t="shared" si="38" ref="G191:G197">(B191-D191)/D191</f>
        <v>-0.9705688265010299</v>
      </c>
      <c r="H191" s="345" t="e">
        <f>#REF!-E192</f>
        <v>#REF!</v>
      </c>
      <c r="I191" s="405" t="e">
        <f>(#REF!-E192)/E192</f>
        <v>#REF!</v>
      </c>
      <c r="J191" s="380">
        <v>624338</v>
      </c>
      <c r="Y191" s="145"/>
      <c r="Z191" s="145"/>
    </row>
    <row r="192" spans="1:26" s="11" customFormat="1" ht="12.75">
      <c r="A192" s="309" t="s">
        <v>119</v>
      </c>
      <c r="B192" s="345">
        <f>Resultado!N716</f>
        <v>9968500</v>
      </c>
      <c r="C192" s="301">
        <v>500000</v>
      </c>
      <c r="D192" s="345">
        <f>(J192/7)*12</f>
        <v>1753432.3371428573</v>
      </c>
      <c r="E192" s="404">
        <v>370400</v>
      </c>
      <c r="F192" s="384">
        <f t="shared" si="37"/>
        <v>8215067.662857143</v>
      </c>
      <c r="G192" s="406">
        <f t="shared" si="38"/>
        <v>4.685135256626579</v>
      </c>
      <c r="H192" s="303">
        <f>B193-E193</f>
        <v>2808624.53</v>
      </c>
      <c r="I192" s="406">
        <f>(B193-E193)/E193</f>
        <v>1.0183036691199088</v>
      </c>
      <c r="J192" s="87">
        <v>1022835.53</v>
      </c>
      <c r="Y192" s="133"/>
      <c r="Z192" s="133"/>
    </row>
    <row r="193" spans="1:26" s="22" customFormat="1" ht="12.75">
      <c r="A193" s="450" t="s">
        <v>378</v>
      </c>
      <c r="B193" s="384">
        <f>SUM(B194:B202)</f>
        <v>5566764.97</v>
      </c>
      <c r="C193" s="384">
        <f>SUM(C194:C202)</f>
        <v>7138269</v>
      </c>
      <c r="D193" s="384">
        <f>SUM(D194:D202)</f>
        <v>6195979.851428572</v>
      </c>
      <c r="E193" s="384">
        <v>2758140.44</v>
      </c>
      <c r="F193" s="384">
        <f t="shared" si="37"/>
        <v>-629214.8814285723</v>
      </c>
      <c r="G193" s="406">
        <f t="shared" si="38"/>
        <v>-0.10155211871508876</v>
      </c>
      <c r="H193" s="345">
        <f>B194-E194</f>
        <v>-592613.9000000001</v>
      </c>
      <c r="I193" s="405">
        <f>(B194-E194)/E194</f>
        <v>-0.6855952776805146</v>
      </c>
      <c r="J193" s="384">
        <f>SUM(J194:J202)</f>
        <v>3614321.58</v>
      </c>
      <c r="Y193" s="145"/>
      <c r="Z193" s="145"/>
    </row>
    <row r="194" spans="1:26" s="22" customFormat="1" ht="12.75">
      <c r="A194" s="309" t="s">
        <v>162</v>
      </c>
      <c r="B194" s="404">
        <f>Resultado!N753</f>
        <v>271764.72000000003</v>
      </c>
      <c r="C194" s="404">
        <v>1020000</v>
      </c>
      <c r="D194" s="345">
        <f aca="true" t="shared" si="39" ref="D194:D199">(J194/7)*12</f>
        <v>1214406.2742857144</v>
      </c>
      <c r="E194" s="404">
        <v>864378.6200000001</v>
      </c>
      <c r="F194" s="404">
        <f t="shared" si="37"/>
        <v>-942641.5542857144</v>
      </c>
      <c r="G194" s="405">
        <f t="shared" si="38"/>
        <v>-0.7762159783307726</v>
      </c>
      <c r="H194" s="345">
        <f>B195-E195</f>
        <v>3544598.5600000005</v>
      </c>
      <c r="I194" s="405">
        <f>(B195-E195)/E195</f>
        <v>3.296069390555537</v>
      </c>
      <c r="J194" s="380">
        <v>708403.66</v>
      </c>
      <c r="Y194" s="133"/>
      <c r="Z194" s="133"/>
    </row>
    <row r="195" spans="1:26" s="22" customFormat="1" ht="12.75">
      <c r="A195" s="309" t="s">
        <v>379</v>
      </c>
      <c r="B195" s="404">
        <f>Resultado!N733</f>
        <v>4620000.24</v>
      </c>
      <c r="C195" s="384">
        <v>3743000</v>
      </c>
      <c r="D195" s="345">
        <f t="shared" si="39"/>
        <v>4375175.897142857</v>
      </c>
      <c r="E195" s="404">
        <v>1075401.68</v>
      </c>
      <c r="F195" s="404">
        <f t="shared" si="37"/>
        <v>244824.3428571429</v>
      </c>
      <c r="G195" s="405">
        <f t="shared" si="38"/>
        <v>0.05595760001718371</v>
      </c>
      <c r="H195" s="345">
        <f>B198-E196</f>
        <v>-432999.8000000002</v>
      </c>
      <c r="I195" s="405">
        <f>(B198-E196)/E196</f>
        <v>-1</v>
      </c>
      <c r="J195" s="380">
        <v>2552185.94</v>
      </c>
      <c r="Y195" s="145"/>
      <c r="Z195" s="145"/>
    </row>
    <row r="196" spans="1:26" s="22" customFormat="1" ht="12.75">
      <c r="A196" s="309" t="s">
        <v>172</v>
      </c>
      <c r="B196" s="345">
        <f>Resultado!N771</f>
        <v>300000</v>
      </c>
      <c r="C196" s="404">
        <v>441000</v>
      </c>
      <c r="D196" s="345">
        <f t="shared" si="39"/>
        <v>272376.13714285713</v>
      </c>
      <c r="E196" s="404">
        <v>432999.8000000002</v>
      </c>
      <c r="F196" s="404">
        <f t="shared" si="37"/>
        <v>27623.86285714287</v>
      </c>
      <c r="G196" s="405">
        <f t="shared" si="38"/>
        <v>0.10141807262159158</v>
      </c>
      <c r="H196" s="345">
        <f>B199-E197</f>
        <v>-373360.34</v>
      </c>
      <c r="I196" s="405">
        <f>(B199-E197)/E197</f>
        <v>-1</v>
      </c>
      <c r="J196" s="380">
        <v>158886.08</v>
      </c>
      <c r="Y196" s="145"/>
      <c r="Z196" s="145"/>
    </row>
    <row r="197" spans="1:26" s="22" customFormat="1" ht="12.75">
      <c r="A197" s="309" t="s">
        <v>380</v>
      </c>
      <c r="B197" s="345">
        <f>Resultado!N794</f>
        <v>375000.01</v>
      </c>
      <c r="C197" s="404">
        <v>1884269</v>
      </c>
      <c r="D197" s="345">
        <f t="shared" si="39"/>
        <v>334021.54285714286</v>
      </c>
      <c r="E197" s="404">
        <v>373360.34</v>
      </c>
      <c r="F197" s="404">
        <f t="shared" si="37"/>
        <v>40978.467142857146</v>
      </c>
      <c r="G197" s="405">
        <f t="shared" si="38"/>
        <v>0.1226821084422784</v>
      </c>
      <c r="H197" s="345">
        <f>B200-E198</f>
        <v>-12000</v>
      </c>
      <c r="I197" s="405">
        <f>(B200-E198)/E198</f>
        <v>-1</v>
      </c>
      <c r="J197" s="380">
        <v>194845.9</v>
      </c>
      <c r="Y197" s="145"/>
      <c r="Z197" s="145"/>
    </row>
    <row r="198" spans="1:26" s="22" customFormat="1" ht="12.75" hidden="1">
      <c r="A198" s="309" t="s">
        <v>192</v>
      </c>
      <c r="B198" s="404">
        <f>Resultado!N832</f>
        <v>0</v>
      </c>
      <c r="C198" s="404">
        <v>50000</v>
      </c>
      <c r="D198" s="345">
        <f t="shared" si="39"/>
        <v>0</v>
      </c>
      <c r="E198" s="404">
        <v>12000</v>
      </c>
      <c r="F198" s="404">
        <f t="shared" si="37"/>
        <v>0</v>
      </c>
      <c r="G198" s="407" t="s">
        <v>416</v>
      </c>
      <c r="H198" s="345">
        <f>B201-E199</f>
        <v>0</v>
      </c>
      <c r="I198" s="405" t="e">
        <f>(B201-E199)/E199</f>
        <v>#DIV/0!</v>
      </c>
      <c r="J198" s="380"/>
      <c r="Y198" s="145"/>
      <c r="Z198" s="145"/>
    </row>
    <row r="199" spans="1:26" s="22" customFormat="1" ht="12.75" hidden="1">
      <c r="A199" s="309" t="s">
        <v>175</v>
      </c>
      <c r="B199" s="404">
        <f>Resultado!N834</f>
        <v>0</v>
      </c>
      <c r="C199" s="404">
        <v>0</v>
      </c>
      <c r="D199" s="345">
        <f t="shared" si="39"/>
        <v>0</v>
      </c>
      <c r="E199" s="404">
        <v>0</v>
      </c>
      <c r="F199" s="404">
        <f t="shared" si="37"/>
        <v>0</v>
      </c>
      <c r="G199" s="407" t="s">
        <v>416</v>
      </c>
      <c r="H199" s="345">
        <f>B202-E200</f>
        <v>0</v>
      </c>
      <c r="I199" s="405" t="e">
        <f>(B202-E200)/E200</f>
        <v>#DIV/0!</v>
      </c>
      <c r="J199" s="380"/>
      <c r="Y199" s="133"/>
      <c r="Z199" s="133"/>
    </row>
    <row r="200" spans="1:26" s="22" customFormat="1" ht="12.75" hidden="1">
      <c r="A200" s="309" t="s">
        <v>213</v>
      </c>
      <c r="B200" s="404">
        <f>Resultado!N834</f>
        <v>0</v>
      </c>
      <c r="C200" s="404">
        <v>0</v>
      </c>
      <c r="D200" s="404"/>
      <c r="E200" s="404">
        <v>0</v>
      </c>
      <c r="F200" s="404">
        <f t="shared" si="37"/>
        <v>0</v>
      </c>
      <c r="G200" s="407" t="s">
        <v>416</v>
      </c>
      <c r="H200" s="345" t="e">
        <f>#REF!-E201</f>
        <v>#REF!</v>
      </c>
      <c r="I200" s="405" t="e">
        <f>(#REF!-E201)/E201</f>
        <v>#REF!</v>
      </c>
      <c r="J200" s="380"/>
      <c r="Y200" s="133"/>
      <c r="Z200" s="133"/>
    </row>
    <row r="201" spans="1:26" s="22" customFormat="1" ht="12.75" hidden="1">
      <c r="A201" s="309" t="s">
        <v>213</v>
      </c>
      <c r="B201" s="404">
        <f>Resultado!N833</f>
        <v>0</v>
      </c>
      <c r="C201" s="404">
        <v>0</v>
      </c>
      <c r="D201" s="404"/>
      <c r="E201" s="404"/>
      <c r="F201" s="404" t="e">
        <f>#REF!-D201</f>
        <v>#REF!</v>
      </c>
      <c r="G201" s="405" t="e">
        <f>(#REF!-D201)/D201</f>
        <v>#REF!</v>
      </c>
      <c r="H201" s="345" t="e">
        <f>#REF!-E202</f>
        <v>#REF!</v>
      </c>
      <c r="I201" s="405" t="e">
        <f>(#REF!-E202)/E202</f>
        <v>#REF!</v>
      </c>
      <c r="J201" s="380"/>
      <c r="Y201" s="133"/>
      <c r="Z201" s="133"/>
    </row>
    <row r="202" spans="1:26" s="11" customFormat="1" ht="12.75" hidden="1">
      <c r="A202" s="309" t="s">
        <v>353</v>
      </c>
      <c r="B202" s="404">
        <f>Resultado!N834</f>
        <v>0</v>
      </c>
      <c r="C202" s="404">
        <v>0</v>
      </c>
      <c r="D202" s="384"/>
      <c r="E202" s="384"/>
      <c r="F202" s="404" t="e">
        <f>#REF!-D202</f>
        <v>#REF!</v>
      </c>
      <c r="G202" s="405" t="e">
        <f>(#REF!-D202)/D202</f>
        <v>#REF!</v>
      </c>
      <c r="H202" s="303">
        <f>B203-E203</f>
        <v>760793.0400000002</v>
      </c>
      <c r="I202" s="406">
        <f>(B203-E203)/E203</f>
        <v>5.071953600000001</v>
      </c>
      <c r="J202" s="87"/>
      <c r="Y202" s="133"/>
      <c r="Z202" s="133"/>
    </row>
    <row r="203" spans="1:26" s="11" customFormat="1" ht="12.75">
      <c r="A203" s="450" t="s">
        <v>382</v>
      </c>
      <c r="B203" s="384">
        <f>Resultado!N835</f>
        <v>910793.0400000002</v>
      </c>
      <c r="C203" s="384">
        <v>160950</v>
      </c>
      <c r="D203" s="384">
        <f>'[6]Ejecución Presupuestaria'!$CF$207</f>
        <v>275773.01</v>
      </c>
      <c r="E203" s="384">
        <v>150000</v>
      </c>
      <c r="F203" s="384">
        <f aca="true" t="shared" si="40" ref="F203:F223">B203-D203</f>
        <v>635020.0300000001</v>
      </c>
      <c r="G203" s="406">
        <f aca="true" t="shared" si="41" ref="G203:G223">(B203-D203)/D203</f>
        <v>2.302691006636219</v>
      </c>
      <c r="H203" s="303">
        <f>B204-E204</f>
        <v>165000</v>
      </c>
      <c r="I203" s="406">
        <f>(B204-E204)/E204</f>
        <v>0.24444444444444444</v>
      </c>
      <c r="J203" s="87">
        <v>461236.9</v>
      </c>
      <c r="Y203" s="133"/>
      <c r="Z203" s="133"/>
    </row>
    <row r="204" spans="1:26" s="22" customFormat="1" ht="12.75">
      <c r="A204" s="450" t="s">
        <v>121</v>
      </c>
      <c r="B204" s="384">
        <f>SUM(B205:B206)</f>
        <v>840000</v>
      </c>
      <c r="C204" s="384">
        <f>SUM(C205:C206)</f>
        <v>1616196</v>
      </c>
      <c r="D204" s="384">
        <f>SUM(D205:D206)</f>
        <v>712567.9714285715</v>
      </c>
      <c r="E204" s="384">
        <v>675000</v>
      </c>
      <c r="F204" s="384">
        <f t="shared" si="40"/>
        <v>127432.0285714285</v>
      </c>
      <c r="G204" s="406">
        <f t="shared" si="41"/>
        <v>0.17883490934338522</v>
      </c>
      <c r="H204" s="345">
        <f>B205-E205</f>
        <v>-135000</v>
      </c>
      <c r="I204" s="405">
        <f>(B205-E205)/E205</f>
        <v>-0.2</v>
      </c>
      <c r="J204" s="384">
        <f>SUM(J205:J206)</f>
        <v>415664.65</v>
      </c>
      <c r="Y204" s="133"/>
      <c r="Z204" s="133"/>
    </row>
    <row r="205" spans="1:26" s="22" customFormat="1" ht="12.75">
      <c r="A205" s="309" t="s">
        <v>381</v>
      </c>
      <c r="B205" s="404">
        <f>Resultado!N840</f>
        <v>540000</v>
      </c>
      <c r="C205" s="404">
        <v>1616196</v>
      </c>
      <c r="D205" s="345">
        <f>(J205/7)*12</f>
        <v>458432.28</v>
      </c>
      <c r="E205" s="404">
        <v>675000</v>
      </c>
      <c r="F205" s="404">
        <f t="shared" si="40"/>
        <v>81567.71999999997</v>
      </c>
      <c r="G205" s="405">
        <f t="shared" si="41"/>
        <v>0.1779275229048006</v>
      </c>
      <c r="H205" s="345"/>
      <c r="I205" s="405"/>
      <c r="J205" s="380">
        <v>267418.83</v>
      </c>
      <c r="Y205" s="133"/>
      <c r="Z205" s="133"/>
    </row>
    <row r="206" spans="1:26" s="22" customFormat="1" ht="12.75">
      <c r="A206" s="309" t="s">
        <v>574</v>
      </c>
      <c r="B206" s="404">
        <f>Resultado!N846</f>
        <v>300000</v>
      </c>
      <c r="C206" s="404">
        <v>0</v>
      </c>
      <c r="D206" s="345">
        <f>(J206/7)*12</f>
        <v>254135.69142857147</v>
      </c>
      <c r="E206" s="404"/>
      <c r="F206" s="404">
        <f t="shared" si="40"/>
        <v>45864.308571428526</v>
      </c>
      <c r="G206" s="405">
        <f t="shared" si="41"/>
        <v>0.1804717326937108</v>
      </c>
      <c r="H206" s="345"/>
      <c r="I206" s="405"/>
      <c r="J206" s="380">
        <v>148245.82</v>
      </c>
      <c r="Y206" s="133"/>
      <c r="Z206" s="133"/>
    </row>
    <row r="207" spans="1:26" s="22" customFormat="1" ht="12.75">
      <c r="A207" s="450" t="s">
        <v>511</v>
      </c>
      <c r="B207" s="384">
        <f>B211+B212</f>
        <v>1080000</v>
      </c>
      <c r="C207" s="384">
        <f>C211+C212</f>
        <v>1060130</v>
      </c>
      <c r="D207" s="384">
        <f>D211+D212</f>
        <v>1112355.24</v>
      </c>
      <c r="E207" s="404"/>
      <c r="F207" s="404">
        <f t="shared" si="40"/>
        <v>-32355.23999999999</v>
      </c>
      <c r="G207" s="405">
        <f t="shared" si="41"/>
        <v>-0.029087146656494367</v>
      </c>
      <c r="H207" s="345">
        <f>B211-E211</f>
        <v>1060600</v>
      </c>
      <c r="I207" s="405">
        <f>(B211-E211)/E211</f>
        <v>54.670103092783506</v>
      </c>
      <c r="J207" s="384">
        <f>J208+J209+J210+J211+J212</f>
        <v>889844.06</v>
      </c>
      <c r="Y207" s="133"/>
      <c r="Z207" s="133"/>
    </row>
    <row r="208" spans="1:26" s="22" customFormat="1" ht="12.75" hidden="1">
      <c r="A208" s="450" t="s">
        <v>645</v>
      </c>
      <c r="B208" s="384"/>
      <c r="C208" s="384"/>
      <c r="D208" s="345">
        <f aca="true" t="shared" si="42" ref="D208:D213">(J208/7)*12</f>
        <v>15076.148571428574</v>
      </c>
      <c r="E208" s="404"/>
      <c r="F208" s="404">
        <f>B208-D208</f>
        <v>-15076.148571428574</v>
      </c>
      <c r="G208" s="405">
        <f>(B208-D208)/D208</f>
        <v>-1</v>
      </c>
      <c r="H208" s="345"/>
      <c r="I208" s="405"/>
      <c r="J208" s="380">
        <v>8794.42</v>
      </c>
      <c r="Y208" s="133"/>
      <c r="Z208" s="133"/>
    </row>
    <row r="209" spans="1:26" s="22" customFormat="1" ht="12.75" hidden="1">
      <c r="A209" s="450" t="s">
        <v>187</v>
      </c>
      <c r="B209" s="384"/>
      <c r="C209" s="384"/>
      <c r="D209" s="345">
        <f t="shared" si="42"/>
        <v>21648.531428571427</v>
      </c>
      <c r="E209" s="404"/>
      <c r="F209" s="404">
        <f>B209-D209</f>
        <v>-21648.531428571427</v>
      </c>
      <c r="G209" s="405">
        <f>(B209-D209)/D209</f>
        <v>-1</v>
      </c>
      <c r="H209" s="345"/>
      <c r="I209" s="405"/>
      <c r="J209" s="380">
        <v>12628.31</v>
      </c>
      <c r="Y209" s="133"/>
      <c r="Z209" s="133"/>
    </row>
    <row r="210" spans="1:26" s="22" customFormat="1" ht="12.75" hidden="1">
      <c r="A210" s="450" t="s">
        <v>923</v>
      </c>
      <c r="B210" s="384"/>
      <c r="C210" s="384"/>
      <c r="D210" s="345">
        <f t="shared" si="42"/>
        <v>376367.04000000004</v>
      </c>
      <c r="E210" s="404"/>
      <c r="F210" s="404">
        <f>B210-D210</f>
        <v>-376367.04000000004</v>
      </c>
      <c r="G210" s="405">
        <f>(B210-D210)/D210</f>
        <v>-1</v>
      </c>
      <c r="H210" s="345"/>
      <c r="I210" s="405"/>
      <c r="J210" s="380">
        <v>219547.44</v>
      </c>
      <c r="Y210" s="133"/>
      <c r="Z210" s="133"/>
    </row>
    <row r="211" spans="1:26" s="22" customFormat="1" ht="12.75">
      <c r="A211" s="309" t="s">
        <v>174</v>
      </c>
      <c r="B211" s="404">
        <f>Resultado!N847</f>
        <v>1080000</v>
      </c>
      <c r="C211" s="404">
        <v>1060130</v>
      </c>
      <c r="D211" s="345">
        <f t="shared" si="42"/>
        <v>1028628.96</v>
      </c>
      <c r="E211" s="404">
        <v>19400</v>
      </c>
      <c r="F211" s="404">
        <f t="shared" si="40"/>
        <v>51371.04000000004</v>
      </c>
      <c r="G211" s="405">
        <f t="shared" si="41"/>
        <v>0.04994127328478098</v>
      </c>
      <c r="H211" s="345">
        <f>B212-E212</f>
        <v>-6000</v>
      </c>
      <c r="I211" s="405">
        <f>(B212-E212)/E212</f>
        <v>-1</v>
      </c>
      <c r="J211" s="380">
        <v>600033.56</v>
      </c>
      <c r="Y211" s="133"/>
      <c r="Z211" s="133"/>
    </row>
    <row r="212" spans="1:26" s="11" customFormat="1" ht="12.75" hidden="1">
      <c r="A212" s="346" t="s">
        <v>632</v>
      </c>
      <c r="B212" s="404">
        <f>Resultado!N856</f>
        <v>0</v>
      </c>
      <c r="C212" s="404"/>
      <c r="D212" s="345">
        <f t="shared" si="42"/>
        <v>83726.28</v>
      </c>
      <c r="E212" s="404">
        <v>6000</v>
      </c>
      <c r="F212" s="404">
        <f t="shared" si="40"/>
        <v>-83726.28</v>
      </c>
      <c r="G212" s="405">
        <f t="shared" si="41"/>
        <v>-1</v>
      </c>
      <c r="H212" s="303">
        <f>B213-E213</f>
        <v>-24996</v>
      </c>
      <c r="I212" s="406">
        <f>(B213-E213)/E213</f>
        <v>-1</v>
      </c>
      <c r="J212" s="87">
        <v>48840.33</v>
      </c>
      <c r="Y212" s="133"/>
      <c r="Z212" s="133"/>
    </row>
    <row r="213" spans="1:26" s="11" customFormat="1" ht="12.75" hidden="1">
      <c r="A213" s="450" t="s">
        <v>664</v>
      </c>
      <c r="B213" s="384"/>
      <c r="C213" s="301"/>
      <c r="D213" s="345">
        <f t="shared" si="42"/>
        <v>27071.314285714285</v>
      </c>
      <c r="E213" s="384">
        <v>24996</v>
      </c>
      <c r="F213" s="404">
        <f t="shared" si="40"/>
        <v>-27071.314285714285</v>
      </c>
      <c r="G213" s="407" t="s">
        <v>416</v>
      </c>
      <c r="H213" s="303">
        <f>B214-E214</f>
        <v>12000000.000000002</v>
      </c>
      <c r="I213" s="406">
        <f>(B214-E214)/E214</f>
        <v>1.1999999904000003</v>
      </c>
      <c r="J213" s="87">
        <v>15791.6</v>
      </c>
      <c r="Y213" s="133"/>
      <c r="Z213" s="133"/>
    </row>
    <row r="214" spans="1:26" s="22" customFormat="1" ht="12.75">
      <c r="A214" s="450" t="s">
        <v>164</v>
      </c>
      <c r="B214" s="384">
        <f>B215</f>
        <v>22000000.080000002</v>
      </c>
      <c r="C214" s="384">
        <f>C215</f>
        <v>11846500</v>
      </c>
      <c r="D214" s="384">
        <f>SUM(D215:D216)</f>
        <v>21095858.125714283</v>
      </c>
      <c r="E214" s="384">
        <v>10000000.08</v>
      </c>
      <c r="F214" s="384">
        <f t="shared" si="40"/>
        <v>904141.9542857185</v>
      </c>
      <c r="G214" s="406">
        <f t="shared" si="41"/>
        <v>0.042858742645014124</v>
      </c>
      <c r="H214" s="345">
        <f>B215-E215</f>
        <v>12000000.000000002</v>
      </c>
      <c r="I214" s="405">
        <f>(B215-E215)/E215</f>
        <v>1.1999999904000003</v>
      </c>
      <c r="J214" s="384">
        <f>J215</f>
        <v>12034263.04</v>
      </c>
      <c r="Y214" s="133"/>
      <c r="Z214" s="133"/>
    </row>
    <row r="215" spans="1:26" s="22" customFormat="1" ht="12.75">
      <c r="A215" s="309" t="s">
        <v>165</v>
      </c>
      <c r="B215" s="404">
        <f>Resultado!N858</f>
        <v>22000000.080000002</v>
      </c>
      <c r="C215" s="404">
        <v>11846500</v>
      </c>
      <c r="D215" s="345">
        <f>(J215/7)*12</f>
        <v>20630165.211428568</v>
      </c>
      <c r="E215" s="404">
        <v>10000000.08</v>
      </c>
      <c r="F215" s="404">
        <f t="shared" si="40"/>
        <v>1369834.8685714342</v>
      </c>
      <c r="G215" s="405">
        <f>(B215-D215)/D215</f>
        <v>0.06639960729992515</v>
      </c>
      <c r="H215" s="345">
        <f>B218-E218</f>
        <v>-93600</v>
      </c>
      <c r="I215" s="405">
        <f>(B218-E218)/E218</f>
        <v>-1</v>
      </c>
      <c r="J215" s="380">
        <v>12034263.04</v>
      </c>
      <c r="Y215" s="133"/>
      <c r="Z215" s="133"/>
    </row>
    <row r="216" spans="1:26" s="22" customFormat="1" ht="12.75">
      <c r="A216" s="301" t="s">
        <v>634</v>
      </c>
      <c r="B216" s="384">
        <f>SUM(B217:B219)</f>
        <v>1200000</v>
      </c>
      <c r="C216" s="384">
        <f>SUM(C217:C219)</f>
        <v>84000</v>
      </c>
      <c r="D216" s="384">
        <f>SUM(D217:D219)</f>
        <v>465692.91428571433</v>
      </c>
      <c r="E216" s="404"/>
      <c r="F216" s="404">
        <f t="shared" si="40"/>
        <v>734307.0857142857</v>
      </c>
      <c r="G216" s="405">
        <f t="shared" si="41"/>
        <v>1.5768053650560159</v>
      </c>
      <c r="H216" s="345"/>
      <c r="I216" s="405"/>
      <c r="J216" s="384">
        <f>SUM(J217:J219)</f>
        <v>271654.2</v>
      </c>
      <c r="Y216" s="133"/>
      <c r="Z216" s="133"/>
    </row>
    <row r="217" spans="1:26" s="22" customFormat="1" ht="12.75" hidden="1">
      <c r="A217" s="346" t="s">
        <v>635</v>
      </c>
      <c r="B217" s="404">
        <f>Resultado!N889</f>
        <v>0</v>
      </c>
      <c r="C217" s="384">
        <v>84000</v>
      </c>
      <c r="D217" s="345">
        <f>(J217/7)*12</f>
        <v>0</v>
      </c>
      <c r="E217" s="404"/>
      <c r="F217" s="404">
        <f t="shared" si="40"/>
        <v>0</v>
      </c>
      <c r="G217" s="411" t="s">
        <v>416</v>
      </c>
      <c r="H217" s="345"/>
      <c r="I217" s="405"/>
      <c r="J217" s="380"/>
      <c r="Y217" s="133"/>
      <c r="Z217" s="133"/>
    </row>
    <row r="218" spans="1:27" s="11" customFormat="1" ht="12.75" hidden="1">
      <c r="A218" s="309" t="s">
        <v>212</v>
      </c>
      <c r="B218" s="404">
        <f>Resultado!N892</f>
        <v>0</v>
      </c>
      <c r="C218" s="301"/>
      <c r="D218" s="345">
        <f>(J218/7)*12</f>
        <v>0</v>
      </c>
      <c r="E218" s="404">
        <v>93600</v>
      </c>
      <c r="F218" s="404">
        <f t="shared" si="40"/>
        <v>0</v>
      </c>
      <c r="G218" s="411" t="s">
        <v>416</v>
      </c>
      <c r="H218" s="303">
        <f>B220-E220</f>
        <v>4708605.239999998</v>
      </c>
      <c r="I218" s="406">
        <f>(B220-E220)/E220</f>
        <v>0.8521281633788648</v>
      </c>
      <c r="J218" s="87"/>
      <c r="Y218" s="133"/>
      <c r="Z218" s="133"/>
      <c r="AA218" s="148"/>
    </row>
    <row r="219" spans="1:27" s="11" customFormat="1" ht="12.75">
      <c r="A219" s="309" t="s">
        <v>633</v>
      </c>
      <c r="B219" s="404">
        <f>Resultado!N891</f>
        <v>1200000</v>
      </c>
      <c r="C219" s="384"/>
      <c r="D219" s="345">
        <f>(J219/7)*12</f>
        <v>465692.91428571433</v>
      </c>
      <c r="E219" s="404"/>
      <c r="F219" s="404">
        <f t="shared" si="40"/>
        <v>734307.0857142857</v>
      </c>
      <c r="G219" s="405">
        <f t="shared" si="41"/>
        <v>1.5768053650560159</v>
      </c>
      <c r="H219" s="303"/>
      <c r="I219" s="406"/>
      <c r="J219" s="87">
        <v>271654.2</v>
      </c>
      <c r="Y219" s="133"/>
      <c r="Z219" s="133"/>
      <c r="AA219" s="148"/>
    </row>
    <row r="220" spans="1:26" s="22" customFormat="1" ht="12.75">
      <c r="A220" s="450" t="s">
        <v>383</v>
      </c>
      <c r="B220" s="384">
        <f>SUM(B221:B228)</f>
        <v>10234306</v>
      </c>
      <c r="C220" s="384">
        <f>SUM(C221:C228)</f>
        <v>7068407</v>
      </c>
      <c r="D220" s="384">
        <f>SUM(D221:D228)</f>
        <v>6544710.342857143</v>
      </c>
      <c r="E220" s="384">
        <v>5525700.760000002</v>
      </c>
      <c r="F220" s="384">
        <f t="shared" si="40"/>
        <v>3689595.657142857</v>
      </c>
      <c r="G220" s="406">
        <f t="shared" si="41"/>
        <v>0.5637523226936482</v>
      </c>
      <c r="H220" s="345">
        <f>B221-E221</f>
        <v>666000</v>
      </c>
      <c r="I220" s="405">
        <f>(B221-E221)/E221</f>
        <v>1.4050632911392404</v>
      </c>
      <c r="J220" s="384">
        <f>SUM(J221:J228)</f>
        <v>3817747.7</v>
      </c>
      <c r="Y220" s="145"/>
      <c r="Z220" s="145"/>
    </row>
    <row r="221" spans="1:26" s="22" customFormat="1" ht="12.75">
      <c r="A221" s="309" t="s">
        <v>384</v>
      </c>
      <c r="B221" s="404">
        <f>Resultado!N895</f>
        <v>1140000</v>
      </c>
      <c r="C221" s="404">
        <v>475000</v>
      </c>
      <c r="D221" s="345">
        <f aca="true" t="shared" si="43" ref="D221:D228">(J221/7)*12</f>
        <v>135723.53142857144</v>
      </c>
      <c r="E221" s="404">
        <v>474000</v>
      </c>
      <c r="F221" s="404">
        <f t="shared" si="40"/>
        <v>1004276.4685714286</v>
      </c>
      <c r="G221" s="405">
        <f t="shared" si="41"/>
        <v>7.399427777930749</v>
      </c>
      <c r="H221" s="345">
        <f>B222-E222</f>
        <v>-42000</v>
      </c>
      <c r="I221" s="405">
        <f>(B222-E222)/E222</f>
        <v>-0.25925925925925924</v>
      </c>
      <c r="J221" s="380">
        <v>79172.06</v>
      </c>
      <c r="Y221" s="145"/>
      <c r="Z221" s="145"/>
    </row>
    <row r="222" spans="1:26" s="22" customFormat="1" ht="12.75">
      <c r="A222" s="309" t="s">
        <v>387</v>
      </c>
      <c r="B222" s="404">
        <f>Resultado!N954</f>
        <v>120000</v>
      </c>
      <c r="C222" s="404">
        <v>612250</v>
      </c>
      <c r="D222" s="345">
        <f t="shared" si="43"/>
        <v>45436.217142857146</v>
      </c>
      <c r="E222" s="404">
        <v>162000</v>
      </c>
      <c r="F222" s="404">
        <f t="shared" si="40"/>
        <v>74563.78285714285</v>
      </c>
      <c r="G222" s="405">
        <f t="shared" si="41"/>
        <v>1.6410649377500992</v>
      </c>
      <c r="H222" s="345">
        <f>B223-E223</f>
        <v>3454450</v>
      </c>
      <c r="I222" s="405">
        <f>(B223-E223)/E223</f>
        <v>6.1686607142857115</v>
      </c>
      <c r="J222" s="380">
        <v>26504.46</v>
      </c>
      <c r="Y222" s="133"/>
      <c r="Z222" s="133"/>
    </row>
    <row r="223" spans="1:26" s="22" customFormat="1" ht="12.75">
      <c r="A223" s="309" t="s">
        <v>638</v>
      </c>
      <c r="B223" s="404">
        <f>Resultado!N914</f>
        <v>4014450</v>
      </c>
      <c r="C223" s="404">
        <v>900000</v>
      </c>
      <c r="D223" s="345">
        <f t="shared" si="43"/>
        <v>3799620.7199999997</v>
      </c>
      <c r="E223" s="404">
        <v>560000.0000000002</v>
      </c>
      <c r="F223" s="404">
        <f t="shared" si="40"/>
        <v>214829.28000000026</v>
      </c>
      <c r="G223" s="405">
        <f t="shared" si="41"/>
        <v>0.05653966430628378</v>
      </c>
      <c r="H223" s="345">
        <f>B226-E226</f>
        <v>2567955.92</v>
      </c>
      <c r="I223" s="405">
        <f>(B226-E226)/E226</f>
        <v>1.5891798953311516</v>
      </c>
      <c r="J223" s="380">
        <v>2216445.42</v>
      </c>
      <c r="Y223" s="133"/>
      <c r="Z223" s="133"/>
    </row>
    <row r="224" spans="1:26" s="22" customFormat="1" ht="12.75" hidden="1">
      <c r="A224" s="309" t="s">
        <v>924</v>
      </c>
      <c r="B224" s="404"/>
      <c r="C224" s="404"/>
      <c r="D224" s="345">
        <f t="shared" si="43"/>
        <v>1553.0914285714289</v>
      </c>
      <c r="E224" s="404"/>
      <c r="F224" s="404">
        <f>B224-D224</f>
        <v>-1553.0914285714289</v>
      </c>
      <c r="G224" s="405">
        <f>(B224-D224)/D224</f>
        <v>-1</v>
      </c>
      <c r="H224" s="345"/>
      <c r="I224" s="405"/>
      <c r="J224" s="380">
        <v>905.97</v>
      </c>
      <c r="Y224" s="133"/>
      <c r="Z224" s="133"/>
    </row>
    <row r="225" spans="1:26" s="22" customFormat="1" ht="12.75" hidden="1">
      <c r="A225" s="346" t="s">
        <v>639</v>
      </c>
      <c r="B225" s="404">
        <f>Resultado!N1011</f>
        <v>0</v>
      </c>
      <c r="C225" s="404">
        <v>1087952</v>
      </c>
      <c r="D225" s="345">
        <f t="shared" si="43"/>
        <v>686658.8571428572</v>
      </c>
      <c r="E225" s="404"/>
      <c r="F225" s="404">
        <f>B225-D225</f>
        <v>-686658.8571428572</v>
      </c>
      <c r="G225" s="405">
        <f>(B225-D225)/D225</f>
        <v>-1</v>
      </c>
      <c r="H225" s="345"/>
      <c r="I225" s="405"/>
      <c r="J225" s="380">
        <v>400551</v>
      </c>
      <c r="Y225" s="133"/>
      <c r="Z225" s="133"/>
    </row>
    <row r="226" spans="1:26" s="22" customFormat="1" ht="12.75">
      <c r="A226" s="309" t="s">
        <v>385</v>
      </c>
      <c r="B226" s="404">
        <f>Resultado!N973</f>
        <v>4183856</v>
      </c>
      <c r="C226" s="404">
        <v>3300000</v>
      </c>
      <c r="D226" s="345">
        <f t="shared" si="43"/>
        <v>1707006.2914285716</v>
      </c>
      <c r="E226" s="404">
        <v>1615900.0800000003</v>
      </c>
      <c r="F226" s="404">
        <f aca="true" t="shared" si="44" ref="F226:F232">B226-D226</f>
        <v>2476849.7085714284</v>
      </c>
      <c r="G226" s="405">
        <f aca="true" t="shared" si="45" ref="G226:G232">(B226-D226)/D226</f>
        <v>1.4509903806497308</v>
      </c>
      <c r="H226" s="345">
        <f aca="true" t="shared" si="46" ref="H226:H231">B227-E227</f>
        <v>-1607595.3200000012</v>
      </c>
      <c r="I226" s="405">
        <f aca="true" t="shared" si="47" ref="I226:I231">(B227-E227)/E227</f>
        <v>-0.7627628059071607</v>
      </c>
      <c r="J226" s="380">
        <v>995753.67</v>
      </c>
      <c r="Y226" s="133"/>
      <c r="Z226" s="133"/>
    </row>
    <row r="227" spans="1:26" s="22" customFormat="1" ht="12.75">
      <c r="A227" s="346" t="s">
        <v>637</v>
      </c>
      <c r="B227" s="404">
        <f>Resultado!N937</f>
        <v>500000</v>
      </c>
      <c r="C227" s="404"/>
      <c r="D227" s="345">
        <f t="shared" si="43"/>
        <v>0</v>
      </c>
      <c r="E227" s="404">
        <v>2107595.320000001</v>
      </c>
      <c r="F227" s="404">
        <f t="shared" si="44"/>
        <v>500000</v>
      </c>
      <c r="G227" s="411" t="s">
        <v>416</v>
      </c>
      <c r="H227" s="345">
        <f t="shared" si="46"/>
        <v>-330205.35999999975</v>
      </c>
      <c r="I227" s="405">
        <f t="shared" si="47"/>
        <v>-0.544708743584847</v>
      </c>
      <c r="J227" s="380"/>
      <c r="Y227" s="145"/>
      <c r="Z227" s="145"/>
    </row>
    <row r="228" spans="1:26" s="22" customFormat="1" ht="12.75">
      <c r="A228" s="309" t="s">
        <v>636</v>
      </c>
      <c r="B228" s="404">
        <f>Resultado!N1002</f>
        <v>276000</v>
      </c>
      <c r="C228" s="404">
        <v>693205</v>
      </c>
      <c r="D228" s="345">
        <f t="shared" si="43"/>
        <v>168711.63428571427</v>
      </c>
      <c r="E228" s="404">
        <v>606205.3599999998</v>
      </c>
      <c r="F228" s="404">
        <f t="shared" si="44"/>
        <v>107288.36571428573</v>
      </c>
      <c r="G228" s="405">
        <f t="shared" si="45"/>
        <v>0.635927487564919</v>
      </c>
      <c r="H228" s="345">
        <f t="shared" si="46"/>
        <v>0</v>
      </c>
      <c r="I228" s="403" t="e">
        <f t="shared" si="47"/>
        <v>#DIV/0!</v>
      </c>
      <c r="J228" s="380">
        <v>98415.12</v>
      </c>
      <c r="Y228" s="133"/>
      <c r="Z228" s="133"/>
    </row>
    <row r="229" spans="1:26" s="22" customFormat="1" ht="12.75" hidden="1">
      <c r="A229" s="301" t="s">
        <v>195</v>
      </c>
      <c r="B229" s="303">
        <f>SUM(B230)</f>
        <v>0</v>
      </c>
      <c r="C229" s="303">
        <v>0</v>
      </c>
      <c r="D229" s="303"/>
      <c r="E229" s="303">
        <v>0</v>
      </c>
      <c r="F229" s="345">
        <f t="shared" si="44"/>
        <v>0</v>
      </c>
      <c r="G229" s="405" t="e">
        <f t="shared" si="45"/>
        <v>#DIV/0!</v>
      </c>
      <c r="H229" s="345">
        <f t="shared" si="46"/>
        <v>0</v>
      </c>
      <c r="I229" s="403" t="e">
        <f t="shared" si="47"/>
        <v>#DIV/0!</v>
      </c>
      <c r="J229" s="380"/>
      <c r="Y229" s="133"/>
      <c r="Z229" s="133"/>
    </row>
    <row r="230" spans="1:26" s="11" customFormat="1" ht="12.75" hidden="1">
      <c r="A230" s="346" t="s">
        <v>386</v>
      </c>
      <c r="B230" s="345">
        <f>Resultado!N1028</f>
        <v>0</v>
      </c>
      <c r="C230" s="345">
        <v>0</v>
      </c>
      <c r="D230" s="345"/>
      <c r="E230" s="345">
        <v>0</v>
      </c>
      <c r="F230" s="345">
        <f t="shared" si="44"/>
        <v>0</v>
      </c>
      <c r="G230" s="405" t="e">
        <f t="shared" si="45"/>
        <v>#DIV/0!</v>
      </c>
      <c r="H230" s="345">
        <f t="shared" si="46"/>
        <v>0</v>
      </c>
      <c r="I230" s="403" t="e">
        <f t="shared" si="47"/>
        <v>#DIV/0!</v>
      </c>
      <c r="J230" s="87"/>
      <c r="Y230" s="133"/>
      <c r="Z230" s="133"/>
    </row>
    <row r="231" spans="1:26" s="22" customFormat="1" ht="12.75" hidden="1">
      <c r="A231" s="301" t="s">
        <v>184</v>
      </c>
      <c r="B231" s="303">
        <f>SUM(B232)</f>
        <v>0</v>
      </c>
      <c r="C231" s="303">
        <v>0</v>
      </c>
      <c r="D231" s="303"/>
      <c r="E231" s="303">
        <v>0</v>
      </c>
      <c r="F231" s="345">
        <f t="shared" si="44"/>
        <v>0</v>
      </c>
      <c r="G231" s="405" t="e">
        <f t="shared" si="45"/>
        <v>#DIV/0!</v>
      </c>
      <c r="H231" s="345">
        <f t="shared" si="46"/>
        <v>0</v>
      </c>
      <c r="I231" s="403" t="e">
        <f t="shared" si="47"/>
        <v>#DIV/0!</v>
      </c>
      <c r="J231" s="380"/>
      <c r="Y231" s="145"/>
      <c r="Z231" s="145"/>
    </row>
    <row r="232" spans="1:26" s="22" customFormat="1" ht="12.75" hidden="1">
      <c r="A232" s="346" t="s">
        <v>158</v>
      </c>
      <c r="B232" s="345">
        <f>Resultado!N1031</f>
        <v>0</v>
      </c>
      <c r="C232" s="345">
        <v>0</v>
      </c>
      <c r="D232" s="345"/>
      <c r="E232" s="345">
        <v>0</v>
      </c>
      <c r="F232" s="345">
        <f t="shared" si="44"/>
        <v>0</v>
      </c>
      <c r="G232" s="405" t="e">
        <f t="shared" si="45"/>
        <v>#DIV/0!</v>
      </c>
      <c r="H232" s="345"/>
      <c r="I232" s="403"/>
      <c r="J232" s="380"/>
      <c r="Y232" s="145"/>
      <c r="Z232" s="145"/>
    </row>
    <row r="233" spans="1:29" s="241" customFormat="1" ht="22.5" customHeight="1">
      <c r="A233" s="453"/>
      <c r="B233" s="345"/>
      <c r="C233" s="345"/>
      <c r="D233" s="345"/>
      <c r="E233" s="345"/>
      <c r="F233" s="345"/>
      <c r="G233" s="405"/>
      <c r="H233" s="357" t="e">
        <f>B234-E234</f>
        <v>#REF!</v>
      </c>
      <c r="I233" s="412" t="e">
        <f>(B234-E234)/E234</f>
        <v>#REF!</v>
      </c>
      <c r="J233" s="387"/>
      <c r="Y233" s="242">
        <f>Flujo!N28</f>
        <v>728012241.9600003</v>
      </c>
      <c r="Z233" s="242">
        <f>Y233-B234</f>
        <v>0</v>
      </c>
      <c r="AA233" s="242" t="e">
        <f>#REF!</f>
        <v>#REF!</v>
      </c>
      <c r="AB233" s="242">
        <f>'[3]Ejecución Indotel'!$BP$883</f>
        <v>601214122.97</v>
      </c>
      <c r="AC233" s="242" t="e">
        <f>AB233-AA233</f>
        <v>#REF!</v>
      </c>
    </row>
    <row r="234" spans="1:26" s="11" customFormat="1" ht="12.75">
      <c r="A234" s="451" t="s">
        <v>512</v>
      </c>
      <c r="B234" s="385">
        <f>B235+B240+B244+B245+B246+B252</f>
        <v>728012241.9600004</v>
      </c>
      <c r="C234" s="385">
        <f>C235+C240+C244+C245+C246+C252</f>
        <v>50326257</v>
      </c>
      <c r="D234" s="385">
        <f>D235+D240+D244+D245+D246+D252</f>
        <v>26731203.235714283</v>
      </c>
      <c r="E234" s="385" t="e">
        <f>#REF!+E235+E246+E252+E240+E61+E243+#REF!</f>
        <v>#REF!</v>
      </c>
      <c r="F234" s="357">
        <f aca="true" t="shared" si="48" ref="F234:F249">B234-D234</f>
        <v>701281038.7242861</v>
      </c>
      <c r="G234" s="412">
        <f>(B234-D234)/D234</f>
        <v>26.234548162326565</v>
      </c>
      <c r="H234" s="345" t="e">
        <f>#REF!-#REF!</f>
        <v>#REF!</v>
      </c>
      <c r="I234" s="403" t="e">
        <f>(#REF!-#REF!)/#REF!</f>
        <v>#REF!</v>
      </c>
      <c r="J234" s="385">
        <f>J235+J240+J244+J245+J246+J252</f>
        <v>14895398.06</v>
      </c>
      <c r="Y234" s="133"/>
      <c r="Z234" s="133"/>
    </row>
    <row r="235" spans="1:26" s="22" customFormat="1" ht="12.75">
      <c r="A235" s="301" t="s">
        <v>123</v>
      </c>
      <c r="B235" s="303">
        <f>Resultado!N1034</f>
        <v>18300000</v>
      </c>
      <c r="C235" s="303">
        <v>18000000</v>
      </c>
      <c r="D235" s="345">
        <f>(J235/7)*12</f>
        <v>17841158.57142857</v>
      </c>
      <c r="E235" s="303">
        <v>5762625.72</v>
      </c>
      <c r="F235" s="303">
        <f t="shared" si="48"/>
        <v>458841.4285714291</v>
      </c>
      <c r="G235" s="406">
        <f>(B235-D235)/D235</f>
        <v>0.02571814082221281</v>
      </c>
      <c r="H235" s="345">
        <f aca="true" t="shared" si="49" ref="H235:H242">B236-E236</f>
        <v>-3000000</v>
      </c>
      <c r="I235" s="403">
        <f aca="true" t="shared" si="50" ref="I235:I242">(B236-E236)/E236</f>
        <v>-1</v>
      </c>
      <c r="J235" s="380">
        <v>10407342.5</v>
      </c>
      <c r="Y235" s="133" t="e">
        <f>B234-Resultado!N1033-#REF!-#REF!+#REF!+#REF!+#REF!</f>
        <v>#REF!</v>
      </c>
      <c r="Z235" s="133"/>
    </row>
    <row r="236" spans="1:26" s="22" customFormat="1" ht="12.75" hidden="1">
      <c r="A236" s="346" t="s">
        <v>124</v>
      </c>
      <c r="B236" s="345">
        <f>Resultado!N1035</f>
        <v>0</v>
      </c>
      <c r="C236" s="345">
        <v>5097525</v>
      </c>
      <c r="D236" s="345">
        <v>4929858.17</v>
      </c>
      <c r="E236" s="345">
        <v>3000000</v>
      </c>
      <c r="F236" s="345">
        <f t="shared" si="48"/>
        <v>-4929858.17</v>
      </c>
      <c r="G236" s="405">
        <f>(B236-D236)/D236</f>
        <v>-1</v>
      </c>
      <c r="H236" s="345">
        <f t="shared" si="49"/>
        <v>-1000000.0799999997</v>
      </c>
      <c r="I236" s="403">
        <f t="shared" si="50"/>
        <v>-1</v>
      </c>
      <c r="J236" s="380"/>
      <c r="Y236" s="145"/>
      <c r="Z236" s="145"/>
    </row>
    <row r="237" spans="1:26" s="22" customFormat="1" ht="12.75" hidden="1">
      <c r="A237" s="346" t="s">
        <v>169</v>
      </c>
      <c r="B237" s="345">
        <f>Resultado!N1038</f>
        <v>0</v>
      </c>
      <c r="C237" s="345">
        <v>0</v>
      </c>
      <c r="D237" s="345">
        <v>180000</v>
      </c>
      <c r="E237" s="345">
        <v>1000000.0799999997</v>
      </c>
      <c r="F237" s="345">
        <f t="shared" si="48"/>
        <v>-180000</v>
      </c>
      <c r="G237" s="405">
        <f>(B237-D237)/D237</f>
        <v>-1</v>
      </c>
      <c r="H237" s="345">
        <f t="shared" si="49"/>
        <v>-120000</v>
      </c>
      <c r="I237" s="403">
        <f t="shared" si="50"/>
        <v>-1</v>
      </c>
      <c r="J237" s="380"/>
      <c r="Y237" s="133"/>
      <c r="Z237" s="133"/>
    </row>
    <row r="238" spans="1:26" s="11" customFormat="1" ht="12.75" hidden="1">
      <c r="A238" s="346" t="s">
        <v>234</v>
      </c>
      <c r="B238" s="345">
        <f>Resultado!N1041</f>
        <v>0</v>
      </c>
      <c r="C238" s="345">
        <v>0</v>
      </c>
      <c r="D238" s="345">
        <v>0</v>
      </c>
      <c r="E238" s="345">
        <v>120000</v>
      </c>
      <c r="F238" s="345">
        <f t="shared" si="48"/>
        <v>0</v>
      </c>
      <c r="G238" s="407" t="s">
        <v>416</v>
      </c>
      <c r="H238" s="345">
        <f t="shared" si="49"/>
        <v>0</v>
      </c>
      <c r="I238" s="403" t="e">
        <f t="shared" si="50"/>
        <v>#DIV/0!</v>
      </c>
      <c r="J238" s="87"/>
      <c r="Y238" s="133"/>
      <c r="Z238" s="133"/>
    </row>
    <row r="239" spans="1:26" s="11" customFormat="1" ht="12.75" hidden="1">
      <c r="A239" s="301" t="s">
        <v>270</v>
      </c>
      <c r="B239" s="303">
        <f>Resultado!N1040</f>
        <v>0</v>
      </c>
      <c r="C239" s="303">
        <v>0</v>
      </c>
      <c r="D239" s="303"/>
      <c r="E239" s="303">
        <v>0</v>
      </c>
      <c r="F239" s="345">
        <f t="shared" si="48"/>
        <v>0</v>
      </c>
      <c r="G239" s="405" t="e">
        <f>(B239-D239)/D239</f>
        <v>#DIV/0!</v>
      </c>
      <c r="H239" s="303">
        <f t="shared" si="49"/>
        <v>-4879106.660000003</v>
      </c>
      <c r="I239" s="415">
        <f t="shared" si="50"/>
        <v>-0.8871102405269289</v>
      </c>
      <c r="J239" s="87"/>
      <c r="Y239" s="145"/>
      <c r="Z239" s="145"/>
    </row>
    <row r="240" spans="1:26" s="22" customFormat="1" ht="12.75">
      <c r="A240" s="301" t="s">
        <v>127</v>
      </c>
      <c r="B240" s="303">
        <f>SUM(B241:B242)</f>
        <v>620893.7199999999</v>
      </c>
      <c r="C240" s="303">
        <f>SUM(C241:C242)</f>
        <v>8000000</v>
      </c>
      <c r="D240" s="303">
        <f>'[6]Ejecución Presupuestaria'!$CF$238</f>
        <v>627927</v>
      </c>
      <c r="E240" s="303">
        <v>5500000.380000003</v>
      </c>
      <c r="F240" s="303">
        <f t="shared" si="48"/>
        <v>-7033.280000000144</v>
      </c>
      <c r="G240" s="406">
        <f>(B240-D240)/D240</f>
        <v>-0.011200792448803992</v>
      </c>
      <c r="H240" s="345">
        <f t="shared" si="49"/>
        <v>-4500000.300000003</v>
      </c>
      <c r="I240" s="403">
        <f t="shared" si="50"/>
        <v>-0.8999999988000001</v>
      </c>
      <c r="J240" s="303">
        <f>SUM(J241:J242)</f>
        <v>9880</v>
      </c>
      <c r="Y240" s="133"/>
      <c r="Z240" s="133"/>
    </row>
    <row r="241" spans="1:26" s="22" customFormat="1" ht="12.75">
      <c r="A241" s="346" t="s">
        <v>41</v>
      </c>
      <c r="B241" s="345">
        <f>Resultado!N1062+Resultado!N1081</f>
        <v>500000.03999999986</v>
      </c>
      <c r="C241" s="345">
        <v>8000000</v>
      </c>
      <c r="D241" s="345">
        <f aca="true" t="shared" si="51" ref="D241:D247">(J241/7)*12</f>
        <v>16937.142857142855</v>
      </c>
      <c r="E241" s="345">
        <v>5000000.340000003</v>
      </c>
      <c r="F241" s="303">
        <f t="shared" si="48"/>
        <v>483062.897142857</v>
      </c>
      <c r="G241" s="406">
        <f>(B241-D241)/D241</f>
        <v>28.520920040485827</v>
      </c>
      <c r="H241" s="345">
        <f t="shared" si="49"/>
        <v>-379106.35999999987</v>
      </c>
      <c r="I241" s="403">
        <f t="shared" si="50"/>
        <v>-0.7582126593429872</v>
      </c>
      <c r="J241" s="380">
        <v>9880</v>
      </c>
      <c r="Y241" s="145"/>
      <c r="Z241" s="145"/>
    </row>
    <row r="242" spans="1:26" s="11" customFormat="1" ht="12.75">
      <c r="A242" s="346" t="s">
        <v>128</v>
      </c>
      <c r="B242" s="345">
        <f>Resultado!H1092</f>
        <v>120893.68</v>
      </c>
      <c r="C242" s="345">
        <v>0</v>
      </c>
      <c r="D242" s="345">
        <f t="shared" si="51"/>
        <v>0</v>
      </c>
      <c r="E242" s="345">
        <v>500000.03999999986</v>
      </c>
      <c r="F242" s="303">
        <f t="shared" si="48"/>
        <v>120893.68</v>
      </c>
      <c r="G242" s="411" t="s">
        <v>416</v>
      </c>
      <c r="H242" s="303">
        <f t="shared" si="49"/>
        <v>-7000000.079999999</v>
      </c>
      <c r="I242" s="415">
        <f t="shared" si="50"/>
        <v>-1</v>
      </c>
      <c r="J242" s="87"/>
      <c r="Y242" s="133"/>
      <c r="Z242" s="133"/>
    </row>
    <row r="243" spans="1:26" s="11" customFormat="1" ht="12.75" hidden="1">
      <c r="A243" s="301" t="s">
        <v>130</v>
      </c>
      <c r="B243" s="303"/>
      <c r="C243" s="303"/>
      <c r="D243" s="345">
        <f t="shared" si="51"/>
        <v>0</v>
      </c>
      <c r="E243" s="303">
        <v>7000000.079999999</v>
      </c>
      <c r="F243" s="303">
        <f t="shared" si="48"/>
        <v>0</v>
      </c>
      <c r="G243" s="411" t="s">
        <v>416</v>
      </c>
      <c r="H243" s="303">
        <f>B246-E246</f>
        <v>87050144.09000039</v>
      </c>
      <c r="I243" s="415">
        <f>(B246-E246)/E246</f>
        <v>0.14158106739933637</v>
      </c>
      <c r="J243" s="87"/>
      <c r="Y243" s="145"/>
      <c r="Z243" s="145"/>
    </row>
    <row r="244" spans="1:26" s="11" customFormat="1" ht="12.75" hidden="1">
      <c r="A244" s="301" t="s">
        <v>640</v>
      </c>
      <c r="B244" s="303">
        <v>0</v>
      </c>
      <c r="C244" s="303"/>
      <c r="D244" s="345">
        <f t="shared" si="51"/>
        <v>0</v>
      </c>
      <c r="E244" s="303"/>
      <c r="F244" s="303">
        <f>B244-D244</f>
        <v>0</v>
      </c>
      <c r="G244" s="411" t="s">
        <v>416</v>
      </c>
      <c r="H244" s="303"/>
      <c r="I244" s="415"/>
      <c r="J244" s="87"/>
      <c r="Y244" s="145"/>
      <c r="Z244" s="145"/>
    </row>
    <row r="245" spans="1:26" s="11" customFormat="1" ht="12.75" hidden="1">
      <c r="A245" s="301" t="s">
        <v>358</v>
      </c>
      <c r="B245" s="303">
        <f>Resultado!N1041</f>
        <v>0</v>
      </c>
      <c r="C245" s="303"/>
      <c r="D245" s="345">
        <f t="shared" si="51"/>
        <v>514285.71428571426</v>
      </c>
      <c r="E245" s="303"/>
      <c r="F245" s="345">
        <f>B245-D245</f>
        <v>-514285.71428571426</v>
      </c>
      <c r="G245" s="411" t="s">
        <v>416</v>
      </c>
      <c r="H245" s="303"/>
      <c r="I245" s="415"/>
      <c r="J245" s="87">
        <v>300000</v>
      </c>
      <c r="Y245" s="145"/>
      <c r="Z245" s="145"/>
    </row>
    <row r="246" spans="1:26" s="11" customFormat="1" ht="12.75">
      <c r="A246" s="450" t="s">
        <v>125</v>
      </c>
      <c r="B246" s="384">
        <f>SUM(B247:B251)</f>
        <v>701893256.1600003</v>
      </c>
      <c r="C246" s="384">
        <f>SUM(C247:C251)</f>
        <v>18000000</v>
      </c>
      <c r="D246" s="384">
        <f>SUM(D247:D251)</f>
        <v>0</v>
      </c>
      <c r="E246" s="303">
        <v>614843112.0699999</v>
      </c>
      <c r="F246" s="303">
        <f t="shared" si="48"/>
        <v>701893256.1600003</v>
      </c>
      <c r="G246" s="411" t="s">
        <v>416</v>
      </c>
      <c r="H246" s="303">
        <f>B247-E247</f>
        <v>88156888.01000035</v>
      </c>
      <c r="I246" s="415">
        <f>(B247-E247)/E247</f>
        <v>0.14408413900705067</v>
      </c>
      <c r="J246" s="384">
        <f>SUM(J247:J251)</f>
        <v>0</v>
      </c>
      <c r="Y246" s="145"/>
      <c r="Z246" s="145"/>
    </row>
    <row r="247" spans="1:26" s="11" customFormat="1" ht="12.75">
      <c r="A247" s="309" t="s">
        <v>414</v>
      </c>
      <c r="B247" s="404">
        <f>Resultado!N1046</f>
        <v>700000000.0800003</v>
      </c>
      <c r="C247" s="404"/>
      <c r="D247" s="345">
        <f t="shared" si="51"/>
        <v>0</v>
      </c>
      <c r="E247" s="345">
        <v>611843112.0699999</v>
      </c>
      <c r="F247" s="345">
        <f t="shared" si="48"/>
        <v>700000000.0800003</v>
      </c>
      <c r="G247" s="411" t="s">
        <v>416</v>
      </c>
      <c r="H247" s="345">
        <f>B248-E248</f>
        <v>-2106744</v>
      </c>
      <c r="I247" s="403">
        <f>(B248-E248)/E248</f>
        <v>-0.702248</v>
      </c>
      <c r="J247" s="87"/>
      <c r="Y247" s="145"/>
      <c r="Z247" s="145"/>
    </row>
    <row r="248" spans="1:26" s="11" customFormat="1" ht="12.75">
      <c r="A248" s="309" t="s">
        <v>1013</v>
      </c>
      <c r="B248" s="163">
        <f>Resultado!N1045</f>
        <v>893256</v>
      </c>
      <c r="C248" s="163">
        <v>3000000</v>
      </c>
      <c r="D248" s="404">
        <v>0</v>
      </c>
      <c r="E248" s="345">
        <v>3000000</v>
      </c>
      <c r="F248" s="345">
        <f t="shared" si="48"/>
        <v>893256</v>
      </c>
      <c r="G248" s="411" t="s">
        <v>416</v>
      </c>
      <c r="H248" s="345">
        <f>B249-E249</f>
        <v>0</v>
      </c>
      <c r="I248" s="407" t="s">
        <v>416</v>
      </c>
      <c r="J248" s="87"/>
      <c r="Y248" s="145"/>
      <c r="Z248" s="145"/>
    </row>
    <row r="249" spans="1:26" s="11" customFormat="1" ht="12.75" hidden="1">
      <c r="A249" s="309" t="s">
        <v>440</v>
      </c>
      <c r="B249" s="404"/>
      <c r="C249" s="404">
        <v>0</v>
      </c>
      <c r="D249" s="404">
        <v>0</v>
      </c>
      <c r="E249" s="345">
        <v>0</v>
      </c>
      <c r="F249" s="345">
        <f t="shared" si="48"/>
        <v>0</v>
      </c>
      <c r="G249" s="406" t="e">
        <f>(B249-D249)/D249</f>
        <v>#DIV/0!</v>
      </c>
      <c r="H249" s="345"/>
      <c r="I249" s="407"/>
      <c r="J249" s="87"/>
      <c r="Y249" s="145"/>
      <c r="Z249" s="145"/>
    </row>
    <row r="250" spans="1:26" s="11" customFormat="1" ht="12.75" hidden="1">
      <c r="A250" s="309" t="s">
        <v>584</v>
      </c>
      <c r="B250" s="404"/>
      <c r="C250" s="404"/>
      <c r="D250" s="404"/>
      <c r="E250" s="345"/>
      <c r="F250" s="345"/>
      <c r="G250" s="406"/>
      <c r="H250" s="345">
        <f>B251-E251</f>
        <v>1000000.0799999997</v>
      </c>
      <c r="I250" s="407" t="s">
        <v>416</v>
      </c>
      <c r="J250" s="87"/>
      <c r="Y250" s="145"/>
      <c r="Z250" s="145"/>
    </row>
    <row r="251" spans="1:26" s="11" customFormat="1" ht="12.75">
      <c r="A251" s="309" t="s">
        <v>441</v>
      </c>
      <c r="B251" s="404">
        <f>Resultado!N1048</f>
        <v>1000000.0799999997</v>
      </c>
      <c r="C251" s="404">
        <v>15000000</v>
      </c>
      <c r="D251" s="404">
        <v>0</v>
      </c>
      <c r="E251" s="345">
        <v>0</v>
      </c>
      <c r="F251" s="345">
        <f>B251-D251</f>
        <v>1000000.0799999997</v>
      </c>
      <c r="G251" s="411" t="s">
        <v>416</v>
      </c>
      <c r="H251" s="345">
        <f>B252-E252</f>
        <v>2711499.5599999977</v>
      </c>
      <c r="I251" s="403">
        <f>(B252-E252)/E252</f>
        <v>0.6043561005179042</v>
      </c>
      <c r="J251" s="87"/>
      <c r="Y251" s="145"/>
      <c r="Z251" s="145"/>
    </row>
    <row r="252" spans="1:26" s="22" customFormat="1" ht="12.75">
      <c r="A252" s="301" t="s">
        <v>126</v>
      </c>
      <c r="B252" s="303">
        <f>Resultado!N1049</f>
        <v>7198092.079999998</v>
      </c>
      <c r="C252" s="303">
        <f>C253</f>
        <v>6326257</v>
      </c>
      <c r="D252" s="303">
        <f>'[6]Ejecución Presupuestaria'!$CF$243</f>
        <v>7747831.95</v>
      </c>
      <c r="E252" s="303">
        <v>4486592.5200000005</v>
      </c>
      <c r="F252" s="303">
        <f>B252-D252</f>
        <v>-549739.870000002</v>
      </c>
      <c r="G252" s="406">
        <f>(B252-D252)/D252</f>
        <v>-0.0709540260485389</v>
      </c>
      <c r="H252" s="345">
        <f>B253-E253</f>
        <v>2711499.5599999977</v>
      </c>
      <c r="I252" s="403">
        <f>(B253-E253)/E253</f>
        <v>0.6043561005179042</v>
      </c>
      <c r="J252" s="303">
        <f>J253</f>
        <v>4178175.56</v>
      </c>
      <c r="Y252" s="133"/>
      <c r="Z252" s="133"/>
    </row>
    <row r="253" spans="1:26" s="22" customFormat="1" ht="12.75">
      <c r="A253" s="346" t="s">
        <v>227</v>
      </c>
      <c r="B253" s="345">
        <f>Resultado!N1050</f>
        <v>7198092.079999998</v>
      </c>
      <c r="C253" s="345">
        <v>6326257</v>
      </c>
      <c r="D253" s="345">
        <f>(J253/7)*12</f>
        <v>7162586.674285715</v>
      </c>
      <c r="E253" s="345">
        <v>4486592.5200000005</v>
      </c>
      <c r="F253" s="345">
        <f>B253-D253</f>
        <v>35505.405714282766</v>
      </c>
      <c r="G253" s="405">
        <f>(B253-D253)/D253</f>
        <v>0.004957064721010656</v>
      </c>
      <c r="H253" s="345" t="e">
        <f>#REF!-#REF!</f>
        <v>#REF!</v>
      </c>
      <c r="I253" s="403" t="e">
        <f>(#REF!-#REF!)/#REF!</f>
        <v>#REF!</v>
      </c>
      <c r="J253" s="380">
        <v>4178175.56</v>
      </c>
      <c r="Y253" s="145"/>
      <c r="Z253" s="145"/>
    </row>
    <row r="254" spans="1:26" s="11" customFormat="1" ht="22.5" customHeight="1">
      <c r="A254" s="346"/>
      <c r="B254" s="345"/>
      <c r="C254" s="345"/>
      <c r="D254" s="345"/>
      <c r="E254" s="345"/>
      <c r="F254" s="345"/>
      <c r="G254" s="405"/>
      <c r="H254" s="357">
        <f>B255-E255</f>
        <v>-2375144.8</v>
      </c>
      <c r="I254" s="412">
        <f>(B255-E255)/E255</f>
        <v>-1</v>
      </c>
      <c r="J254" s="87"/>
      <c r="Y254" s="133">
        <f>Flujo!O29</f>
        <v>0</v>
      </c>
      <c r="Z254" s="133">
        <f>Y254-B255</f>
        <v>0</v>
      </c>
    </row>
    <row r="255" spans="1:26" s="22" customFormat="1" ht="12.75">
      <c r="A255" s="451" t="s">
        <v>129</v>
      </c>
      <c r="B255" s="385">
        <f>SUM(B256:B258)</f>
        <v>0</v>
      </c>
      <c r="C255" s="385">
        <f>SUM(C256:C258)</f>
        <v>2862912</v>
      </c>
      <c r="D255" s="385">
        <f>SUM(D256)</f>
        <v>0</v>
      </c>
      <c r="E255" s="385">
        <f>SUM(E256:E257)</f>
        <v>2375144.8</v>
      </c>
      <c r="F255" s="357">
        <f>B255-D255</f>
        <v>0</v>
      </c>
      <c r="G255" s="434" t="s">
        <v>416</v>
      </c>
      <c r="H255" s="345">
        <f>B256-E256</f>
        <v>0</v>
      </c>
      <c r="I255" s="403" t="e">
        <f>(B256-E256)/E256</f>
        <v>#DIV/0!</v>
      </c>
      <c r="J255" s="385">
        <f>SUM(J256:J258)</f>
        <v>0</v>
      </c>
      <c r="Y255" s="133"/>
      <c r="Z255" s="133"/>
    </row>
    <row r="256" spans="1:26" s="22" customFormat="1" ht="12.75" hidden="1">
      <c r="A256" s="453" t="s">
        <v>131</v>
      </c>
      <c r="B256" s="345">
        <f>Resultado!N1096</f>
        <v>0</v>
      </c>
      <c r="C256" s="345">
        <v>2862912</v>
      </c>
      <c r="D256" s="345">
        <v>0</v>
      </c>
      <c r="E256" s="345">
        <v>0</v>
      </c>
      <c r="F256" s="345">
        <f>B256-D256</f>
        <v>0</v>
      </c>
      <c r="G256" s="407" t="s">
        <v>416</v>
      </c>
      <c r="H256" s="345"/>
      <c r="I256" s="403"/>
      <c r="J256" s="380">
        <v>0</v>
      </c>
      <c r="Y256" s="133"/>
      <c r="Z256" s="133"/>
    </row>
    <row r="257" spans="1:26" s="22" customFormat="1" ht="12.75" hidden="1">
      <c r="A257" s="346" t="s">
        <v>132</v>
      </c>
      <c r="B257" s="345"/>
      <c r="C257" s="345"/>
      <c r="D257" s="345">
        <f>'[5]Sheet2'!$I$180</f>
        <v>2683095.38</v>
      </c>
      <c r="E257" s="345">
        <f>'[4]Resultado'!P1044</f>
        <v>2375144.8</v>
      </c>
      <c r="F257" s="345" t="e">
        <f>#REF!-D257</f>
        <v>#REF!</v>
      </c>
      <c r="G257" s="405" t="e">
        <f>(#REF!-D257)/D257</f>
        <v>#REF!</v>
      </c>
      <c r="H257" s="345" t="e">
        <f>B258-#REF!</f>
        <v>#REF!</v>
      </c>
      <c r="I257" s="421" t="s">
        <v>416</v>
      </c>
      <c r="J257" s="380"/>
      <c r="Y257" s="133"/>
      <c r="Z257" s="133"/>
    </row>
    <row r="258" spans="1:26" s="11" customFormat="1" ht="22.5" customHeight="1">
      <c r="A258" s="346"/>
      <c r="B258" s="345"/>
      <c r="C258" s="345"/>
      <c r="D258" s="345"/>
      <c r="E258" s="345"/>
      <c r="F258" s="345"/>
      <c r="G258" s="405"/>
      <c r="H258" s="357" t="e">
        <f>B259-E259</f>
        <v>#REF!</v>
      </c>
      <c r="I258" s="422" t="e">
        <f>(B259-E259)/E259</f>
        <v>#REF!</v>
      </c>
      <c r="J258" s="87"/>
      <c r="Y258" s="133">
        <f>Flujo!O31</f>
        <v>2400269608.12552</v>
      </c>
      <c r="Z258" s="133">
        <f>Y258-B259</f>
        <v>0</v>
      </c>
    </row>
    <row r="259" spans="1:26" s="22" customFormat="1" ht="13.5" customHeight="1">
      <c r="A259" s="451" t="s">
        <v>20</v>
      </c>
      <c r="B259" s="385">
        <f>B255+B234+B183+B64+B30</f>
        <v>2400269608.1255207</v>
      </c>
      <c r="C259" s="385">
        <f>C255+C234+C183+C64+C30</f>
        <v>1404271543.08</v>
      </c>
      <c r="D259" s="385">
        <f>D255+D234+D183+D64+D30</f>
        <v>1570693321.9485714</v>
      </c>
      <c r="E259" s="385" t="e">
        <f>E255+E234+E183+E64+E30</f>
        <v>#REF!</v>
      </c>
      <c r="F259" s="357">
        <f>B259-D259</f>
        <v>829576286.1769493</v>
      </c>
      <c r="G259" s="412">
        <f>(B259-D259)/D259</f>
        <v>0.52815930047235</v>
      </c>
      <c r="H259" s="345"/>
      <c r="I259" s="403"/>
      <c r="J259" s="385">
        <f>J255+J234+J183+J64+J30</f>
        <v>916387322.9499999</v>
      </c>
      <c r="Y259" s="133"/>
      <c r="Z259" s="133"/>
    </row>
    <row r="260" spans="1:29" s="11" customFormat="1" ht="11.25" customHeight="1">
      <c r="A260" s="346"/>
      <c r="B260" s="423"/>
      <c r="C260" s="423"/>
      <c r="D260" s="423"/>
      <c r="E260" s="423"/>
      <c r="F260" s="345"/>
      <c r="G260" s="405"/>
      <c r="H260" s="303">
        <f aca="true" t="shared" si="52" ref="H260:H266">B261-E261</f>
        <v>20457200</v>
      </c>
      <c r="I260" s="415">
        <f>(B261-E261)/E261</f>
        <v>0.35714385474860333</v>
      </c>
      <c r="J260" s="87"/>
      <c r="Y260" s="133" t="e">
        <f>Resultado!N1100+#REF!+#REF!</f>
        <v>#REF!</v>
      </c>
      <c r="Z260" s="133" t="e">
        <f>Y260-B261</f>
        <v>#REF!</v>
      </c>
      <c r="AA260" s="88" t="e">
        <f>#REF!+#REF!+#REF!</f>
        <v>#REF!</v>
      </c>
      <c r="AB260" s="88" t="e">
        <f>B259-#REF!</f>
        <v>#REF!</v>
      </c>
      <c r="AC260" s="203" t="e">
        <f>(B259-#REF!)/#REF!</f>
        <v>#REF!</v>
      </c>
    </row>
    <row r="261" spans="1:26" s="22" customFormat="1" ht="12.75">
      <c r="A261" s="301" t="s">
        <v>910</v>
      </c>
      <c r="B261" s="303">
        <f>Resultado!N1102</f>
        <v>77737200</v>
      </c>
      <c r="C261" s="303">
        <v>85920000</v>
      </c>
      <c r="D261" s="303">
        <f>(J261/7)*12</f>
        <v>79542816.27428572</v>
      </c>
      <c r="E261" s="303">
        <f>'[4]Resultado'!P1051</f>
        <v>57280000</v>
      </c>
      <c r="F261" s="303">
        <f>B261-D261</f>
        <v>-1805616.2742857188</v>
      </c>
      <c r="G261" s="406">
        <f>(B261-D261)/D261</f>
        <v>-0.022699928904446286</v>
      </c>
      <c r="H261" s="345">
        <f t="shared" si="52"/>
        <v>74437200</v>
      </c>
      <c r="I261" s="403" t="e">
        <f>(B262-E262)/E262</f>
        <v>#DIV/0!</v>
      </c>
      <c r="J261" s="303">
        <f>SUM(J262:J263)</f>
        <v>46399976.160000004</v>
      </c>
      <c r="Y261" s="133"/>
      <c r="Z261" s="133"/>
    </row>
    <row r="262" spans="1:26" s="22" customFormat="1" ht="12.75">
      <c r="A262" s="346" t="s">
        <v>43</v>
      </c>
      <c r="B262" s="345">
        <f>Resultado!N1103</f>
        <v>74437200</v>
      </c>
      <c r="C262" s="345"/>
      <c r="D262" s="345"/>
      <c r="E262" s="345"/>
      <c r="F262" s="345">
        <f>B262-D262</f>
        <v>74437200</v>
      </c>
      <c r="G262" s="411" t="s">
        <v>416</v>
      </c>
      <c r="H262" s="345" t="e">
        <f>#REF!-#REF!</f>
        <v>#REF!</v>
      </c>
      <c r="I262" s="403" t="e">
        <f>(#REF!-#REF!)/#REF!</f>
        <v>#REF!</v>
      </c>
      <c r="J262" s="380">
        <v>44038457.92</v>
      </c>
      <c r="Y262" s="133"/>
      <c r="Z262" s="133"/>
    </row>
    <row r="263" spans="1:26" s="22" customFormat="1" ht="12.75">
      <c r="A263" s="453" t="s">
        <v>44</v>
      </c>
      <c r="B263" s="345">
        <f>Resultado!N1110</f>
        <v>3300000</v>
      </c>
      <c r="C263" s="345"/>
      <c r="D263" s="345"/>
      <c r="E263" s="345"/>
      <c r="F263" s="345">
        <f>B263-D263</f>
        <v>3300000</v>
      </c>
      <c r="G263" s="411" t="s">
        <v>416</v>
      </c>
      <c r="H263" s="345" t="e">
        <f>#REF!-#REF!</f>
        <v>#REF!</v>
      </c>
      <c r="I263" s="403" t="e">
        <f>(#REF!-#REF!)/#REF!</f>
        <v>#REF!</v>
      </c>
      <c r="J263" s="380">
        <v>2361518.24</v>
      </c>
      <c r="Y263" s="133"/>
      <c r="Z263" s="133"/>
    </row>
    <row r="264" spans="1:26" s="22" customFormat="1" ht="16.5" customHeight="1" hidden="1">
      <c r="A264" s="453"/>
      <c r="B264" s="345"/>
      <c r="C264" s="345"/>
      <c r="D264" s="345"/>
      <c r="E264" s="345"/>
      <c r="F264" s="345">
        <f>B264-D264</f>
        <v>0</v>
      </c>
      <c r="G264" s="405" t="e">
        <f>(B264-D264)/D264</f>
        <v>#DIV/0!</v>
      </c>
      <c r="H264" s="345">
        <f t="shared" si="52"/>
        <v>0</v>
      </c>
      <c r="I264" s="403" t="e">
        <f>(B265-E265)/E265</f>
        <v>#DIV/0!</v>
      </c>
      <c r="J264" s="380"/>
      <c r="Y264" s="133"/>
      <c r="Z264" s="133"/>
    </row>
    <row r="265" spans="1:26" s="22" customFormat="1" ht="20.25" customHeight="1" hidden="1">
      <c r="A265" s="455" t="s">
        <v>200</v>
      </c>
      <c r="B265" s="397">
        <f>Resultado!N1116</f>
        <v>0</v>
      </c>
      <c r="C265" s="397">
        <v>0</v>
      </c>
      <c r="D265" s="397"/>
      <c r="E265" s="397">
        <v>0</v>
      </c>
      <c r="F265" s="345">
        <f>B265-D265</f>
        <v>0</v>
      </c>
      <c r="G265" s="405" t="e">
        <f>(B265-D265)/D265</f>
        <v>#DIV/0!</v>
      </c>
      <c r="H265" s="345">
        <f t="shared" si="52"/>
        <v>0</v>
      </c>
      <c r="I265" s="403"/>
      <c r="J265" s="380"/>
      <c r="Y265" s="133"/>
      <c r="Z265" s="133"/>
    </row>
    <row r="266" spans="1:26" s="22" customFormat="1" ht="22.5" customHeight="1">
      <c r="A266" s="455"/>
      <c r="B266" s="397"/>
      <c r="C266" s="397"/>
      <c r="D266" s="397"/>
      <c r="E266" s="397"/>
      <c r="F266" s="345"/>
      <c r="G266" s="405"/>
      <c r="H266" s="345">
        <f t="shared" si="52"/>
        <v>2478006808.1255207</v>
      </c>
      <c r="I266" s="422"/>
      <c r="J266" s="380"/>
      <c r="Y266" s="133" t="e">
        <f>Y260-B259</f>
        <v>#REF!</v>
      </c>
      <c r="Z266" s="133"/>
    </row>
    <row r="267" spans="1:26" s="22" customFormat="1" ht="12.75">
      <c r="A267" s="451" t="s">
        <v>911</v>
      </c>
      <c r="B267" s="388">
        <f>B261+B259</f>
        <v>2478006808.1255207</v>
      </c>
      <c r="C267" s="388">
        <f>C261+C259</f>
        <v>1490191543.08</v>
      </c>
      <c r="D267" s="388">
        <f>D261+D259</f>
        <v>1650236138.2228572</v>
      </c>
      <c r="E267" s="388"/>
      <c r="F267" s="357">
        <f>B267-D267</f>
        <v>827770669.9026635</v>
      </c>
      <c r="G267" s="412"/>
      <c r="H267" s="424"/>
      <c r="I267" s="425"/>
      <c r="J267" s="388">
        <f>J261+J259</f>
        <v>962787299.1099999</v>
      </c>
      <c r="Y267" s="133"/>
      <c r="Z267" s="133"/>
    </row>
    <row r="268" spans="1:26" s="22" customFormat="1" ht="12.75" hidden="1">
      <c r="A268" s="453"/>
      <c r="B268" s="345"/>
      <c r="C268" s="345"/>
      <c r="D268" s="345"/>
      <c r="E268" s="345"/>
      <c r="F268" s="345"/>
      <c r="G268" s="405"/>
      <c r="H268" s="345">
        <f>B269-E269</f>
        <v>0</v>
      </c>
      <c r="I268" s="403" t="e">
        <f>(B269-E269)/E269</f>
        <v>#DIV/0!</v>
      </c>
      <c r="J268" s="380"/>
      <c r="Y268" s="133"/>
      <c r="Z268" s="133"/>
    </row>
    <row r="269" spans="1:26" s="11" customFormat="1" ht="24" customHeight="1" hidden="1">
      <c r="A269" s="453"/>
      <c r="B269" s="345"/>
      <c r="C269" s="345"/>
      <c r="D269" s="345"/>
      <c r="E269" s="345"/>
      <c r="F269" s="345">
        <f>B269-D269</f>
        <v>0</v>
      </c>
      <c r="G269" s="405" t="e">
        <f>(B269-D269)/D269</f>
        <v>#DIV/0!</v>
      </c>
      <c r="H269" s="345">
        <f>B270-E270</f>
        <v>860002878.4638371</v>
      </c>
      <c r="I269" s="422">
        <f>(B270-E270)/E270</f>
        <v>0.531520883662909</v>
      </c>
      <c r="J269" s="87"/>
      <c r="Y269" s="133">
        <f>B270-Resultado!N1118</f>
        <v>0</v>
      </c>
      <c r="Z269" s="133"/>
    </row>
    <row r="270" spans="1:26" s="226" customFormat="1" ht="24" customHeight="1" hidden="1">
      <c r="A270" s="451" t="s">
        <v>348</v>
      </c>
      <c r="B270" s="385">
        <f>B265+B261+B259</f>
        <v>2478006808.1255207</v>
      </c>
      <c r="C270" s="385">
        <v>2035133659.7397022</v>
      </c>
      <c r="D270" s="385">
        <f>D265+D261+D259</f>
        <v>1650236138.2228572</v>
      </c>
      <c r="E270" s="385">
        <v>1618003929.6616836</v>
      </c>
      <c r="F270" s="357">
        <f>B270-D270</f>
        <v>827770669.9026635</v>
      </c>
      <c r="G270" s="412">
        <f>(B270-D270)/D270</f>
        <v>0.5016074068006361</v>
      </c>
      <c r="H270" s="345" t="e">
        <f>#REF!-E271</f>
        <v>#REF!</v>
      </c>
      <c r="I270" s="426"/>
      <c r="J270" s="382"/>
      <c r="Y270" s="194"/>
      <c r="Z270" s="194"/>
    </row>
    <row r="271" spans="1:26" s="22" customFormat="1" ht="15" customHeight="1">
      <c r="A271" s="519"/>
      <c r="B271" s="518"/>
      <c r="C271" s="386"/>
      <c r="D271" s="386"/>
      <c r="E271" s="386"/>
      <c r="F271" s="386"/>
      <c r="G271" s="414"/>
      <c r="H271" s="345" t="e">
        <f>#REF!-#REF!</f>
        <v>#REF!</v>
      </c>
      <c r="I271" s="403"/>
      <c r="J271" s="380"/>
      <c r="Z271" s="133"/>
    </row>
    <row r="272" spans="1:26" s="22" customFormat="1" ht="12.75">
      <c r="A272" s="512" t="s">
        <v>222</v>
      </c>
      <c r="B272" s="513"/>
      <c r="C272" s="345"/>
      <c r="D272" s="345"/>
      <c r="E272" s="345"/>
      <c r="F272" s="345"/>
      <c r="G272" s="405"/>
      <c r="H272" s="345"/>
      <c r="I272" s="403"/>
      <c r="J272" s="380"/>
      <c r="Y272" s="133" t="e">
        <f>Y260+B318</f>
        <v>#REF!</v>
      </c>
      <c r="Z272" s="133" t="e">
        <f>B259+B287+B318+B320+#REF!</f>
        <v>#REF!</v>
      </c>
    </row>
    <row r="273" spans="1:26" s="22" customFormat="1" ht="12.75">
      <c r="A273" s="520"/>
      <c r="B273" s="508"/>
      <c r="C273" s="345"/>
      <c r="D273" s="345"/>
      <c r="E273" s="345"/>
      <c r="F273" s="345"/>
      <c r="G273" s="405"/>
      <c r="H273" s="345">
        <f aca="true" t="shared" si="53" ref="H273:H281">B274-E274</f>
        <v>8911649.84</v>
      </c>
      <c r="I273" s="405">
        <f>(B274-E274)/E274</f>
        <v>2.385983790694134</v>
      </c>
      <c r="J273" s="380"/>
      <c r="Y273" s="133"/>
      <c r="Z273" s="133"/>
    </row>
    <row r="274" spans="1:26" s="22" customFormat="1" ht="12.75">
      <c r="A274" s="309" t="s">
        <v>219</v>
      </c>
      <c r="B274" s="163">
        <f>Flujo!N43</f>
        <v>12646650</v>
      </c>
      <c r="C274" s="404">
        <v>8173850</v>
      </c>
      <c r="D274" s="345">
        <f aca="true" t="shared" si="54" ref="D274:D285">(J274/7)*12</f>
        <v>11230833.805714285</v>
      </c>
      <c r="E274" s="404">
        <v>3735000.160000001</v>
      </c>
      <c r="F274" s="404">
        <f aca="true" t="shared" si="55" ref="F274:F285">B274-D274</f>
        <v>1415816.194285715</v>
      </c>
      <c r="G274" s="405">
        <f>(B274-D274)/D274</f>
        <v>0.12606510066646548</v>
      </c>
      <c r="H274" s="345">
        <f t="shared" si="53"/>
        <v>1195253.9600000014</v>
      </c>
      <c r="I274" s="405">
        <f>(B275-E275)/E275</f>
        <v>0.30161503522236266</v>
      </c>
      <c r="J274" s="380">
        <v>6551319.72</v>
      </c>
      <c r="Y274" s="133"/>
      <c r="Z274" s="133"/>
    </row>
    <row r="275" spans="1:26" s="22" customFormat="1" ht="12.75">
      <c r="A275" s="309" t="s">
        <v>77</v>
      </c>
      <c r="B275" s="404">
        <f>Flujo!N68</f>
        <v>5158100.04</v>
      </c>
      <c r="C275" s="404">
        <v>7885242</v>
      </c>
      <c r="D275" s="345">
        <f t="shared" si="54"/>
        <v>14014916.537142858</v>
      </c>
      <c r="E275" s="404">
        <v>3962846.0799999987</v>
      </c>
      <c r="F275" s="404">
        <f t="shared" si="55"/>
        <v>-8856816.497142859</v>
      </c>
      <c r="G275" s="405">
        <f>(B275-D275)/D275</f>
        <v>-0.6319564211224655</v>
      </c>
      <c r="H275" s="345">
        <f>B277-E277</f>
        <v>-43361849.72000001</v>
      </c>
      <c r="I275" s="405">
        <f>(B277-E277)/E277</f>
        <v>-0.809026053418131</v>
      </c>
      <c r="J275" s="380">
        <v>8175367.98</v>
      </c>
      <c r="Y275" s="133"/>
      <c r="Z275" s="133"/>
    </row>
    <row r="276" spans="1:26" s="22" customFormat="1" ht="12.75">
      <c r="A276" s="309" t="s">
        <v>908</v>
      </c>
      <c r="B276" s="404">
        <f>Flujo!N96</f>
        <v>1000000.0799999997</v>
      </c>
      <c r="C276" s="404"/>
      <c r="D276" s="345">
        <f t="shared" si="54"/>
        <v>0</v>
      </c>
      <c r="E276" s="404"/>
      <c r="F276" s="404">
        <f>B276-D276</f>
        <v>1000000.0799999997</v>
      </c>
      <c r="G276" s="407" t="s">
        <v>416</v>
      </c>
      <c r="H276" s="345"/>
      <c r="I276" s="405"/>
      <c r="J276" s="380"/>
      <c r="Y276" s="133"/>
      <c r="Z276" s="133"/>
    </row>
    <row r="277" spans="1:26" s="22" customFormat="1" ht="12.75">
      <c r="A277" s="404" t="s">
        <v>279</v>
      </c>
      <c r="B277" s="404">
        <f>Flujo!N98</f>
        <v>10235744</v>
      </c>
      <c r="C277" s="404">
        <v>8019263</v>
      </c>
      <c r="D277" s="345">
        <f t="shared" si="54"/>
        <v>812466.1199999999</v>
      </c>
      <c r="E277" s="404">
        <v>53597593.72000001</v>
      </c>
      <c r="F277" s="404">
        <f t="shared" si="55"/>
        <v>9423277.88</v>
      </c>
      <c r="G277" s="405">
        <f>(B277-D277)/D277</f>
        <v>11.598364101631711</v>
      </c>
      <c r="H277" s="345">
        <f t="shared" si="53"/>
        <v>366533.6400000006</v>
      </c>
      <c r="I277" s="405">
        <f>(B278-E278)/E278</f>
        <v>0.027593222285993774</v>
      </c>
      <c r="J277" s="380">
        <v>473938.57</v>
      </c>
      <c r="Y277" s="133" t="e">
        <f>Y272+B320+#REF!</f>
        <v>#REF!</v>
      </c>
      <c r="Z277" s="133"/>
    </row>
    <row r="278" spans="1:26" s="22" customFormat="1" ht="12.75">
      <c r="A278" s="309" t="s">
        <v>76</v>
      </c>
      <c r="B278" s="163">
        <f>Flujo!N103</f>
        <v>13650000</v>
      </c>
      <c r="C278" s="404">
        <v>5192300</v>
      </c>
      <c r="D278" s="345">
        <f t="shared" si="54"/>
        <v>2049351.3771428568</v>
      </c>
      <c r="E278" s="404">
        <v>13283466.36</v>
      </c>
      <c r="F278" s="404">
        <f t="shared" si="55"/>
        <v>11600648.622857142</v>
      </c>
      <c r="G278" s="405">
        <f>(B278-D278)/D278</f>
        <v>5.660644022417674</v>
      </c>
      <c r="H278" s="345">
        <f t="shared" si="53"/>
        <v>0</v>
      </c>
      <c r="I278" s="407" t="s">
        <v>416</v>
      </c>
      <c r="J278" s="380">
        <v>1195454.97</v>
      </c>
      <c r="Y278" s="133"/>
      <c r="Z278" s="133"/>
    </row>
    <row r="279" spans="1:26" s="22" customFormat="1" ht="12.75" hidden="1">
      <c r="A279" s="309" t="s">
        <v>912</v>
      </c>
      <c r="B279" s="404"/>
      <c r="C279" s="404">
        <v>0</v>
      </c>
      <c r="D279" s="345">
        <f t="shared" si="54"/>
        <v>0</v>
      </c>
      <c r="E279" s="404">
        <v>0</v>
      </c>
      <c r="F279" s="404">
        <f t="shared" si="55"/>
        <v>0</v>
      </c>
      <c r="G279" s="407" t="s">
        <v>416</v>
      </c>
      <c r="H279" s="345">
        <f t="shared" si="53"/>
        <v>0</v>
      </c>
      <c r="I279" s="407" t="s">
        <v>416</v>
      </c>
      <c r="J279" s="380"/>
      <c r="Y279" s="133"/>
      <c r="Z279" s="133"/>
    </row>
    <row r="280" spans="1:26" s="22" customFormat="1" ht="12.75" hidden="1">
      <c r="A280" s="309" t="s">
        <v>233</v>
      </c>
      <c r="B280" s="404">
        <f>Flujo!N123</f>
        <v>0</v>
      </c>
      <c r="C280" s="404">
        <v>45000</v>
      </c>
      <c r="D280" s="345">
        <f t="shared" si="54"/>
        <v>0</v>
      </c>
      <c r="E280" s="404">
        <v>0</v>
      </c>
      <c r="F280" s="404">
        <f t="shared" si="55"/>
        <v>0</v>
      </c>
      <c r="G280" s="407" t="s">
        <v>416</v>
      </c>
      <c r="H280" s="345">
        <f t="shared" si="53"/>
        <v>11050000.159999996</v>
      </c>
      <c r="I280" s="405">
        <f>(B281-E281)/E281</f>
        <v>24.555555911111103</v>
      </c>
      <c r="J280" s="380"/>
      <c r="Y280" s="145"/>
      <c r="Z280" s="145"/>
    </row>
    <row r="281" spans="1:26" s="22" customFormat="1" ht="12.75">
      <c r="A281" s="309" t="s">
        <v>75</v>
      </c>
      <c r="B281" s="404">
        <f>Flujo!N109</f>
        <v>11500000.159999996</v>
      </c>
      <c r="C281" s="404">
        <v>0</v>
      </c>
      <c r="D281" s="345">
        <f t="shared" si="54"/>
        <v>0</v>
      </c>
      <c r="E281" s="404">
        <v>450000</v>
      </c>
      <c r="F281" s="404">
        <f t="shared" si="55"/>
        <v>11500000.159999996</v>
      </c>
      <c r="G281" s="407" t="s">
        <v>416</v>
      </c>
      <c r="H281" s="345">
        <f t="shared" si="53"/>
        <v>4294735</v>
      </c>
      <c r="I281" s="405">
        <f>(B282-E282)/E282</f>
        <v>0.5353696085764149</v>
      </c>
      <c r="J281" s="380"/>
      <c r="Y281" s="145"/>
      <c r="Z281" s="145"/>
    </row>
    <row r="282" spans="1:26" s="22" customFormat="1" ht="12.75">
      <c r="A282" s="309" t="s">
        <v>74</v>
      </c>
      <c r="B282" s="163">
        <f>Flujo!N116</f>
        <v>12316735</v>
      </c>
      <c r="C282" s="404">
        <v>19713600</v>
      </c>
      <c r="D282" s="345">
        <f t="shared" si="54"/>
        <v>1132350.4285714286</v>
      </c>
      <c r="E282" s="404">
        <v>8022000</v>
      </c>
      <c r="F282" s="404">
        <f t="shared" si="55"/>
        <v>11184384.57142857</v>
      </c>
      <c r="G282" s="405">
        <f>(B282-D282)/D282</f>
        <v>9.877140758924577</v>
      </c>
      <c r="H282" s="345" t="e">
        <f>#REF!-#REF!</f>
        <v>#REF!</v>
      </c>
      <c r="I282" s="405" t="e">
        <f>(#REF!-#REF!)/#REF!</f>
        <v>#REF!</v>
      </c>
      <c r="J282" s="380">
        <v>660537.75</v>
      </c>
      <c r="Y282" s="145"/>
      <c r="Z282" s="145"/>
    </row>
    <row r="283" spans="1:26" s="22" customFormat="1" ht="12.75" hidden="1">
      <c r="A283" s="309" t="s">
        <v>925</v>
      </c>
      <c r="B283" s="404"/>
      <c r="C283" s="404"/>
      <c r="D283" s="345">
        <f t="shared" si="54"/>
        <v>2621622.8571428573</v>
      </c>
      <c r="E283" s="404"/>
      <c r="F283" s="404">
        <f>B283-D283</f>
        <v>-2621622.8571428573</v>
      </c>
      <c r="G283" s="405">
        <f>(B283-D283)/D283</f>
        <v>-1</v>
      </c>
      <c r="H283" s="345"/>
      <c r="I283" s="405"/>
      <c r="J283" s="380">
        <v>1529280</v>
      </c>
      <c r="Y283" s="145"/>
      <c r="Z283" s="145"/>
    </row>
    <row r="284" spans="1:26" s="22" customFormat="1" ht="12.75" hidden="1">
      <c r="A284" s="404" t="s">
        <v>907</v>
      </c>
      <c r="B284" s="404">
        <f>Flujo!N136</f>
        <v>0</v>
      </c>
      <c r="C284" s="404">
        <v>0</v>
      </c>
      <c r="D284" s="345">
        <f t="shared" si="54"/>
        <v>0</v>
      </c>
      <c r="E284" s="404">
        <v>0</v>
      </c>
      <c r="F284" s="404">
        <f t="shared" si="55"/>
        <v>0</v>
      </c>
      <c r="G284" s="407" t="s">
        <v>416</v>
      </c>
      <c r="H284" s="345" t="e">
        <f>#REF!-#REF!</f>
        <v>#REF!</v>
      </c>
      <c r="I284" s="405" t="e">
        <f>(#REF!-#REF!)/#REF!</f>
        <v>#REF!</v>
      </c>
      <c r="J284" s="380"/>
      <c r="Y284" s="145"/>
      <c r="Z284" s="145" t="e">
        <f>B259+B318+B320+#REF!</f>
        <v>#REF!</v>
      </c>
    </row>
    <row r="285" spans="1:26" s="22" customFormat="1" ht="15" customHeight="1">
      <c r="A285" s="346" t="s">
        <v>166</v>
      </c>
      <c r="B285" s="345">
        <f>Flujo!N125</f>
        <v>258900</v>
      </c>
      <c r="C285" s="345">
        <v>14155823</v>
      </c>
      <c r="D285" s="345">
        <f t="shared" si="54"/>
        <v>2923016.4342857143</v>
      </c>
      <c r="E285" s="345">
        <v>8335220.079999998</v>
      </c>
      <c r="F285" s="345">
        <f t="shared" si="55"/>
        <v>-2664116.4342857143</v>
      </c>
      <c r="G285" s="405">
        <f>(B285-D285)/D285</f>
        <v>-0.9114271144824178</v>
      </c>
      <c r="H285" s="345" t="e">
        <f>#REF!-#REF!</f>
        <v>#REF!</v>
      </c>
      <c r="I285" s="403" t="e">
        <f>(#REF!-#REF!)/#REF!</f>
        <v>#REF!</v>
      </c>
      <c r="J285" s="380">
        <v>1705092.92</v>
      </c>
      <c r="Y285" s="107"/>
      <c r="Z285" s="107"/>
    </row>
    <row r="286" spans="1:26" s="11" customFormat="1" ht="12" customHeight="1">
      <c r="A286" s="346"/>
      <c r="B286" s="345"/>
      <c r="C286" s="345"/>
      <c r="D286" s="345"/>
      <c r="E286" s="345"/>
      <c r="F286" s="345"/>
      <c r="G286" s="405"/>
      <c r="H286" s="357">
        <f>B287-E287</f>
        <v>-24619997.120000027</v>
      </c>
      <c r="I286" s="422">
        <f>(B287-E287)/E287</f>
        <v>-0.269406288348819</v>
      </c>
      <c r="J286" s="87"/>
      <c r="Y286" s="107">
        <f>Flujo!N142</f>
        <v>66766129.279999994</v>
      </c>
      <c r="Z286" s="107">
        <f>Y286-B287</f>
        <v>0</v>
      </c>
    </row>
    <row r="287" spans="1:26" s="11" customFormat="1" ht="12.75">
      <c r="A287" s="456" t="s">
        <v>223</v>
      </c>
      <c r="B287" s="357">
        <f>SUM(B274:B285)</f>
        <v>66766129.279999994</v>
      </c>
      <c r="C287" s="357">
        <f>SUM(C274:C285)</f>
        <v>63185078</v>
      </c>
      <c r="D287" s="357">
        <f>SUM(D274:D285)</f>
        <v>34784557.56</v>
      </c>
      <c r="E287" s="357">
        <f>SUM(E274:E285)</f>
        <v>91386126.40000002</v>
      </c>
      <c r="F287" s="357">
        <f>B287-D287</f>
        <v>31981571.71999999</v>
      </c>
      <c r="G287" s="412">
        <f>(B287-D287)/D287</f>
        <v>0.919418672059717</v>
      </c>
      <c r="H287" s="345"/>
      <c r="I287" s="403"/>
      <c r="J287" s="357">
        <f>SUM(J274:J285)</f>
        <v>20290991.910000004</v>
      </c>
      <c r="Y287" s="107"/>
      <c r="Z287" s="107"/>
    </row>
    <row r="288" spans="1:26" s="11" customFormat="1" ht="23.25" customHeight="1">
      <c r="A288" s="301"/>
      <c r="B288" s="303"/>
      <c r="C288" s="303"/>
      <c r="D288" s="303"/>
      <c r="E288" s="303"/>
      <c r="F288" s="345"/>
      <c r="G288" s="405"/>
      <c r="H288" s="357">
        <f>B289-E289</f>
        <v>757645681.3438373</v>
      </c>
      <c r="I288" s="412">
        <f>(B289-E289)/E289</f>
        <v>0.4432257451464299</v>
      </c>
      <c r="J288" s="87"/>
      <c r="Y288" s="107"/>
      <c r="Z288" s="107"/>
    </row>
    <row r="289" spans="1:26" s="11" customFormat="1" ht="12.75">
      <c r="A289" s="451" t="s">
        <v>84</v>
      </c>
      <c r="B289" s="385">
        <f>B287+B259</f>
        <v>2467035737.405521</v>
      </c>
      <c r="C289" s="385">
        <f>C287+C259</f>
        <v>1467456621.08</v>
      </c>
      <c r="D289" s="385">
        <f>D287+D259</f>
        <v>1605477879.5085714</v>
      </c>
      <c r="E289" s="385">
        <f>E270+E287</f>
        <v>1709390056.0616837</v>
      </c>
      <c r="F289" s="357">
        <f>B289-D289</f>
        <v>861557857.8969495</v>
      </c>
      <c r="G289" s="412">
        <f>(B289-D289)/D289</f>
        <v>0.5366363927484744</v>
      </c>
      <c r="H289" s="345"/>
      <c r="I289" s="403"/>
      <c r="J289" s="385">
        <f>J287+J259</f>
        <v>936678314.8599999</v>
      </c>
      <c r="Y289" s="107"/>
      <c r="Z289" s="107"/>
    </row>
    <row r="290" spans="1:26" s="11" customFormat="1" ht="12.75" hidden="1">
      <c r="A290" s="455"/>
      <c r="B290" s="175"/>
      <c r="C290" s="175"/>
      <c r="D290" s="175"/>
      <c r="E290" s="175"/>
      <c r="F290" s="345"/>
      <c r="G290" s="405"/>
      <c r="H290" s="345">
        <f aca="true" t="shared" si="56" ref="H290:H313">B291-E291</f>
        <v>0</v>
      </c>
      <c r="I290" s="403" t="e">
        <f aca="true" t="shared" si="57" ref="I290:I312">(B291-E291)/E291</f>
        <v>#DIV/0!</v>
      </c>
      <c r="J290" s="87"/>
      <c r="Y290" s="107"/>
      <c r="Z290" s="107"/>
    </row>
    <row r="291" spans="1:26" s="48" customFormat="1" ht="12.75" hidden="1">
      <c r="A291" s="455"/>
      <c r="B291" s="175"/>
      <c r="C291" s="175"/>
      <c r="D291" s="175"/>
      <c r="E291" s="175"/>
      <c r="F291" s="345">
        <f aca="true" t="shared" si="58" ref="F291:F313">B291-D291</f>
        <v>0</v>
      </c>
      <c r="G291" s="405" t="e">
        <f aca="true" t="shared" si="59" ref="G291:G313">(B291-D291)/D291</f>
        <v>#DIV/0!</v>
      </c>
      <c r="H291" s="345">
        <f t="shared" si="56"/>
        <v>0</v>
      </c>
      <c r="I291" s="403" t="e">
        <f t="shared" si="57"/>
        <v>#DIV/0!</v>
      </c>
      <c r="J291" s="87"/>
      <c r="Y291" s="133"/>
      <c r="Z291" s="133"/>
    </row>
    <row r="292" spans="1:26" s="48" customFormat="1" ht="15.75" customHeight="1" hidden="1">
      <c r="A292" s="301"/>
      <c r="B292" s="303"/>
      <c r="C292" s="303"/>
      <c r="D292" s="303"/>
      <c r="E292" s="303"/>
      <c r="F292" s="345">
        <f t="shared" si="58"/>
        <v>0</v>
      </c>
      <c r="G292" s="405" t="e">
        <f t="shared" si="59"/>
        <v>#DIV/0!</v>
      </c>
      <c r="H292" s="345" t="e">
        <f t="shared" si="56"/>
        <v>#REF!</v>
      </c>
      <c r="I292" s="403" t="e">
        <f t="shared" si="57"/>
        <v>#REF!</v>
      </c>
      <c r="J292" s="87"/>
      <c r="Y292" s="133"/>
      <c r="Z292" s="133"/>
    </row>
    <row r="293" spans="1:26" s="48" customFormat="1" ht="12.75" hidden="1">
      <c r="A293" s="457" t="s">
        <v>207</v>
      </c>
      <c r="B293" s="427">
        <f>B26-B259-B287</f>
        <v>18924968.014479376</v>
      </c>
      <c r="C293" s="427">
        <v>327082601.41678166</v>
      </c>
      <c r="D293" s="427"/>
      <c r="E293" s="427" t="e">
        <f>E26-E259-E287</f>
        <v>#REF!</v>
      </c>
      <c r="F293" s="345">
        <f t="shared" si="58"/>
        <v>18924968.014479376</v>
      </c>
      <c r="G293" s="405" t="e">
        <f t="shared" si="59"/>
        <v>#DIV/0!</v>
      </c>
      <c r="H293" s="345" t="e">
        <f t="shared" si="56"/>
        <v>#REF!</v>
      </c>
      <c r="I293" s="403" t="e">
        <f t="shared" si="57"/>
        <v>#REF!</v>
      </c>
      <c r="J293" s="87"/>
      <c r="Y293" s="133"/>
      <c r="Z293" s="133"/>
    </row>
    <row r="294" spans="1:26" s="48" customFormat="1" ht="12.75" hidden="1">
      <c r="A294" s="457" t="s">
        <v>210</v>
      </c>
      <c r="B294" s="393">
        <f>B293/B10</f>
        <v>0.013071877598428705</v>
      </c>
      <c r="C294" s="393">
        <v>0.24228805327004424</v>
      </c>
      <c r="D294" s="393"/>
      <c r="E294" s="393" t="e">
        <f>E293/E10</f>
        <v>#REF!</v>
      </c>
      <c r="F294" s="345">
        <f t="shared" si="58"/>
        <v>0.013071877598428705</v>
      </c>
      <c r="G294" s="405" t="e">
        <f t="shared" si="59"/>
        <v>#DIV/0!</v>
      </c>
      <c r="H294" s="345">
        <f t="shared" si="56"/>
        <v>0</v>
      </c>
      <c r="I294" s="403" t="e">
        <f t="shared" si="57"/>
        <v>#DIV/0!</v>
      </c>
      <c r="J294" s="87"/>
      <c r="Y294" s="133"/>
      <c r="Z294" s="133"/>
    </row>
    <row r="295" spans="1:26" s="48" customFormat="1" ht="12.75" hidden="1">
      <c r="A295" s="301" t="s">
        <v>183</v>
      </c>
      <c r="B295" s="303"/>
      <c r="C295" s="303"/>
      <c r="D295" s="303"/>
      <c r="E295" s="303"/>
      <c r="F295" s="345">
        <f t="shared" si="58"/>
        <v>0</v>
      </c>
      <c r="G295" s="405" t="e">
        <f t="shared" si="59"/>
        <v>#DIV/0!</v>
      </c>
      <c r="H295" s="345">
        <f t="shared" si="56"/>
        <v>0</v>
      </c>
      <c r="I295" s="403" t="e">
        <f t="shared" si="57"/>
        <v>#DIV/0!</v>
      </c>
      <c r="J295" s="87"/>
      <c r="Y295" s="133"/>
      <c r="Z295" s="133"/>
    </row>
    <row r="296" spans="1:26" s="48" customFormat="1" ht="12.75" hidden="1">
      <c r="A296" s="301"/>
      <c r="B296" s="303"/>
      <c r="C296" s="303"/>
      <c r="D296" s="303"/>
      <c r="E296" s="303"/>
      <c r="F296" s="345">
        <f t="shared" si="58"/>
        <v>0</v>
      </c>
      <c r="G296" s="405" t="e">
        <f t="shared" si="59"/>
        <v>#DIV/0!</v>
      </c>
      <c r="H296" s="345">
        <f t="shared" si="56"/>
        <v>0</v>
      </c>
      <c r="I296" s="403" t="e">
        <f t="shared" si="57"/>
        <v>#DIV/0!</v>
      </c>
      <c r="J296" s="87"/>
      <c r="Y296" s="133"/>
      <c r="Z296" s="133"/>
    </row>
    <row r="297" spans="1:26" s="48" customFormat="1" ht="12.75" hidden="1">
      <c r="A297" s="301"/>
      <c r="B297" s="303"/>
      <c r="C297" s="303"/>
      <c r="D297" s="303"/>
      <c r="E297" s="303"/>
      <c r="F297" s="345">
        <f t="shared" si="58"/>
        <v>0</v>
      </c>
      <c r="G297" s="405" t="e">
        <f t="shared" si="59"/>
        <v>#DIV/0!</v>
      </c>
      <c r="H297" s="345">
        <f t="shared" si="56"/>
        <v>0</v>
      </c>
      <c r="I297" s="403" t="e">
        <f t="shared" si="57"/>
        <v>#DIV/0!</v>
      </c>
      <c r="J297" s="87"/>
      <c r="Y297" s="133"/>
      <c r="Z297" s="133"/>
    </row>
    <row r="298" spans="1:26" s="48" customFormat="1" ht="12.75" hidden="1">
      <c r="A298" s="301"/>
      <c r="B298" s="303"/>
      <c r="C298" s="303"/>
      <c r="D298" s="303"/>
      <c r="E298" s="303"/>
      <c r="F298" s="345">
        <f t="shared" si="58"/>
        <v>0</v>
      </c>
      <c r="G298" s="405" t="e">
        <f t="shared" si="59"/>
        <v>#DIV/0!</v>
      </c>
      <c r="H298" s="345">
        <f t="shared" si="56"/>
        <v>0</v>
      </c>
      <c r="I298" s="403" t="e">
        <f t="shared" si="57"/>
        <v>#DIV/0!</v>
      </c>
      <c r="J298" s="87"/>
      <c r="Y298" s="133"/>
      <c r="Z298" s="133"/>
    </row>
    <row r="299" spans="1:26" s="48" customFormat="1" ht="12.75" hidden="1">
      <c r="A299" s="301"/>
      <c r="B299" s="303"/>
      <c r="C299" s="303"/>
      <c r="D299" s="303"/>
      <c r="E299" s="303"/>
      <c r="F299" s="345">
        <f t="shared" si="58"/>
        <v>0</v>
      </c>
      <c r="G299" s="405" t="e">
        <f t="shared" si="59"/>
        <v>#DIV/0!</v>
      </c>
      <c r="H299" s="345">
        <f t="shared" si="56"/>
        <v>0</v>
      </c>
      <c r="I299" s="403" t="e">
        <f t="shared" si="57"/>
        <v>#DIV/0!</v>
      </c>
      <c r="J299" s="87"/>
      <c r="Y299" s="145"/>
      <c r="Z299" s="145"/>
    </row>
    <row r="300" spans="1:26" s="48" customFormat="1" ht="12.75" hidden="1">
      <c r="A300" s="301"/>
      <c r="B300" s="303"/>
      <c r="C300" s="303"/>
      <c r="D300" s="303"/>
      <c r="E300" s="303"/>
      <c r="F300" s="345">
        <f t="shared" si="58"/>
        <v>0</v>
      </c>
      <c r="G300" s="405" t="e">
        <f t="shared" si="59"/>
        <v>#DIV/0!</v>
      </c>
      <c r="H300" s="345">
        <f t="shared" si="56"/>
        <v>0</v>
      </c>
      <c r="I300" s="403" t="e">
        <f t="shared" si="57"/>
        <v>#DIV/0!</v>
      </c>
      <c r="J300" s="87"/>
      <c r="Y300" s="133"/>
      <c r="Z300" s="133"/>
    </row>
    <row r="301" spans="1:26" s="48" customFormat="1" ht="12.75" hidden="1">
      <c r="A301" s="301"/>
      <c r="B301" s="303"/>
      <c r="C301" s="303"/>
      <c r="D301" s="303"/>
      <c r="E301" s="303"/>
      <c r="F301" s="345">
        <f t="shared" si="58"/>
        <v>0</v>
      </c>
      <c r="G301" s="405" t="e">
        <f t="shared" si="59"/>
        <v>#DIV/0!</v>
      </c>
      <c r="H301" s="345">
        <f t="shared" si="56"/>
        <v>0</v>
      </c>
      <c r="I301" s="403" t="e">
        <f t="shared" si="57"/>
        <v>#DIV/0!</v>
      </c>
      <c r="J301" s="87"/>
      <c r="Y301" s="145"/>
      <c r="Z301" s="145"/>
    </row>
    <row r="302" spans="1:26" s="22" customFormat="1" ht="12.75" hidden="1">
      <c r="A302" s="301"/>
      <c r="B302" s="303"/>
      <c r="C302" s="303"/>
      <c r="D302" s="303"/>
      <c r="E302" s="303"/>
      <c r="F302" s="345">
        <f t="shared" si="58"/>
        <v>0</v>
      </c>
      <c r="G302" s="405" t="e">
        <f t="shared" si="59"/>
        <v>#DIV/0!</v>
      </c>
      <c r="H302" s="345">
        <f t="shared" si="56"/>
        <v>0</v>
      </c>
      <c r="I302" s="403" t="e">
        <f t="shared" si="57"/>
        <v>#DIV/0!</v>
      </c>
      <c r="J302" s="380"/>
      <c r="Y302" s="145"/>
      <c r="Z302" s="145"/>
    </row>
    <row r="303" spans="1:26" s="22" customFormat="1" ht="12.75" hidden="1">
      <c r="A303" s="346"/>
      <c r="B303" s="345"/>
      <c r="C303" s="345"/>
      <c r="D303" s="345"/>
      <c r="E303" s="345"/>
      <c r="F303" s="345">
        <f t="shared" si="58"/>
        <v>0</v>
      </c>
      <c r="G303" s="405" t="e">
        <f t="shared" si="59"/>
        <v>#DIV/0!</v>
      </c>
      <c r="H303" s="345">
        <f t="shared" si="56"/>
        <v>0</v>
      </c>
      <c r="I303" s="403" t="e">
        <f t="shared" si="57"/>
        <v>#DIV/0!</v>
      </c>
      <c r="J303" s="380"/>
      <c r="Y303" s="133"/>
      <c r="Z303" s="133"/>
    </row>
    <row r="304" spans="1:26" s="22" customFormat="1" ht="12.75" hidden="1">
      <c r="A304" s="301" t="s">
        <v>65</v>
      </c>
      <c r="B304" s="345"/>
      <c r="C304" s="345"/>
      <c r="D304" s="345"/>
      <c r="E304" s="345"/>
      <c r="F304" s="345">
        <f t="shared" si="58"/>
        <v>0</v>
      </c>
      <c r="G304" s="405" t="e">
        <f t="shared" si="59"/>
        <v>#DIV/0!</v>
      </c>
      <c r="H304" s="345">
        <f t="shared" si="56"/>
        <v>0</v>
      </c>
      <c r="I304" s="403" t="e">
        <f t="shared" si="57"/>
        <v>#DIV/0!</v>
      </c>
      <c r="J304" s="380"/>
      <c r="Y304" s="133"/>
      <c r="Z304" s="133"/>
    </row>
    <row r="305" spans="1:26" s="22" customFormat="1" ht="12.75" hidden="1">
      <c r="A305" s="346" t="s">
        <v>78</v>
      </c>
      <c r="B305" s="345">
        <f>Flujo!N38</f>
        <v>0</v>
      </c>
      <c r="C305" s="345">
        <v>0</v>
      </c>
      <c r="D305" s="345"/>
      <c r="E305" s="345">
        <f>Flujo!O38</f>
        <v>0</v>
      </c>
      <c r="F305" s="345">
        <f t="shared" si="58"/>
        <v>0</v>
      </c>
      <c r="G305" s="405" t="e">
        <f t="shared" si="59"/>
        <v>#DIV/0!</v>
      </c>
      <c r="H305" s="345">
        <f t="shared" si="56"/>
        <v>0</v>
      </c>
      <c r="I305" s="403" t="e">
        <f t="shared" si="57"/>
        <v>#DIV/0!</v>
      </c>
      <c r="J305" s="380"/>
      <c r="Y305" s="133"/>
      <c r="Z305" s="133"/>
    </row>
    <row r="306" spans="1:26" s="22" customFormat="1" ht="12.75" hidden="1">
      <c r="A306" s="346" t="s">
        <v>79</v>
      </c>
      <c r="B306" s="345">
        <f>Flujo!N39</f>
        <v>0</v>
      </c>
      <c r="C306" s="345">
        <v>28932372</v>
      </c>
      <c r="D306" s="345"/>
      <c r="E306" s="345">
        <f>Flujo!O39</f>
        <v>0</v>
      </c>
      <c r="F306" s="345">
        <f t="shared" si="58"/>
        <v>0</v>
      </c>
      <c r="G306" s="405" t="e">
        <f t="shared" si="59"/>
        <v>#DIV/0!</v>
      </c>
      <c r="H306" s="345" t="e">
        <f t="shared" si="56"/>
        <v>#REF!</v>
      </c>
      <c r="I306" s="403" t="e">
        <f t="shared" si="57"/>
        <v>#REF!</v>
      </c>
      <c r="J306" s="380"/>
      <c r="Y306" s="133"/>
      <c r="Z306" s="133"/>
    </row>
    <row r="307" spans="1:26" s="22" customFormat="1" ht="12.75" hidden="1">
      <c r="A307" s="346" t="s">
        <v>80</v>
      </c>
      <c r="B307" s="345" t="e">
        <f>Flujo!#REF!</f>
        <v>#REF!</v>
      </c>
      <c r="C307" s="345" t="e">
        <v>#REF!</v>
      </c>
      <c r="D307" s="345"/>
      <c r="E307" s="345" t="e">
        <f>Flujo!#REF!</f>
        <v>#REF!</v>
      </c>
      <c r="F307" s="345" t="e">
        <f t="shared" si="58"/>
        <v>#REF!</v>
      </c>
      <c r="G307" s="405" t="e">
        <f t="shared" si="59"/>
        <v>#REF!</v>
      </c>
      <c r="H307" s="345" t="e">
        <f t="shared" si="56"/>
        <v>#REF!</v>
      </c>
      <c r="I307" s="403" t="e">
        <f t="shared" si="57"/>
        <v>#REF!</v>
      </c>
      <c r="J307" s="380"/>
      <c r="Y307" s="133"/>
      <c r="Z307" s="133"/>
    </row>
    <row r="308" spans="1:26" s="22" customFormat="1" ht="12.75" hidden="1">
      <c r="A308" s="346" t="s">
        <v>81</v>
      </c>
      <c r="B308" s="345" t="e">
        <f>Flujo!#REF!</f>
        <v>#REF!</v>
      </c>
      <c r="C308" s="345" t="e">
        <v>#REF!</v>
      </c>
      <c r="D308" s="345"/>
      <c r="E308" s="345" t="e">
        <f>Flujo!#REF!</f>
        <v>#REF!</v>
      </c>
      <c r="F308" s="345" t="e">
        <f t="shared" si="58"/>
        <v>#REF!</v>
      </c>
      <c r="G308" s="405" t="e">
        <f t="shared" si="59"/>
        <v>#REF!</v>
      </c>
      <c r="H308" s="345" t="e">
        <f t="shared" si="56"/>
        <v>#REF!</v>
      </c>
      <c r="I308" s="403" t="e">
        <f t="shared" si="57"/>
        <v>#REF!</v>
      </c>
      <c r="J308" s="380"/>
      <c r="Y308" s="133"/>
      <c r="Z308" s="133"/>
    </row>
    <row r="309" spans="1:26" s="22" customFormat="1" ht="12.75" hidden="1">
      <c r="A309" s="346" t="s">
        <v>85</v>
      </c>
      <c r="B309" s="345" t="e">
        <f>Flujo!#REF!</f>
        <v>#REF!</v>
      </c>
      <c r="C309" s="345" t="e">
        <v>#REF!</v>
      </c>
      <c r="D309" s="345"/>
      <c r="E309" s="345" t="e">
        <f>Flujo!#REF!</f>
        <v>#REF!</v>
      </c>
      <c r="F309" s="345" t="e">
        <f t="shared" si="58"/>
        <v>#REF!</v>
      </c>
      <c r="G309" s="405" t="e">
        <f t="shared" si="59"/>
        <v>#REF!</v>
      </c>
      <c r="H309" s="345">
        <f t="shared" si="56"/>
        <v>0</v>
      </c>
      <c r="I309" s="403" t="e">
        <f t="shared" si="57"/>
        <v>#DIV/0!</v>
      </c>
      <c r="J309" s="380"/>
      <c r="Y309" s="133"/>
      <c r="Z309" s="133"/>
    </row>
    <row r="310" spans="1:26" s="11" customFormat="1" ht="12.75" hidden="1">
      <c r="A310" s="346"/>
      <c r="B310" s="345"/>
      <c r="C310" s="345"/>
      <c r="D310" s="345"/>
      <c r="E310" s="345"/>
      <c r="F310" s="345">
        <f t="shared" si="58"/>
        <v>0</v>
      </c>
      <c r="G310" s="405" t="e">
        <f t="shared" si="59"/>
        <v>#DIV/0!</v>
      </c>
      <c r="H310" s="345" t="e">
        <f t="shared" si="56"/>
        <v>#REF!</v>
      </c>
      <c r="I310" s="403" t="e">
        <f t="shared" si="57"/>
        <v>#REF!</v>
      </c>
      <c r="J310" s="87"/>
      <c r="Y310" s="133"/>
      <c r="Z310" s="133"/>
    </row>
    <row r="311" spans="1:26" s="22" customFormat="1" ht="12.75" hidden="1">
      <c r="A311" s="301" t="s">
        <v>82</v>
      </c>
      <c r="B311" s="303" t="e">
        <f>SUM(B305:B310)</f>
        <v>#REF!</v>
      </c>
      <c r="C311" s="303" t="e">
        <v>#REF!</v>
      </c>
      <c r="D311" s="303"/>
      <c r="E311" s="303" t="e">
        <f>SUM(E305:E310)</f>
        <v>#REF!</v>
      </c>
      <c r="F311" s="345" t="e">
        <f t="shared" si="58"/>
        <v>#REF!</v>
      </c>
      <c r="G311" s="405" t="e">
        <f t="shared" si="59"/>
        <v>#REF!</v>
      </c>
      <c r="H311" s="345">
        <f t="shared" si="56"/>
        <v>0</v>
      </c>
      <c r="I311" s="403" t="e">
        <f t="shared" si="57"/>
        <v>#DIV/0!</v>
      </c>
      <c r="J311" s="380"/>
      <c r="Y311" s="133"/>
      <c r="Z311" s="133"/>
    </row>
    <row r="312" spans="1:26" s="11" customFormat="1" ht="12.75" hidden="1">
      <c r="A312" s="346"/>
      <c r="B312" s="345"/>
      <c r="C312" s="345"/>
      <c r="D312" s="345"/>
      <c r="E312" s="345"/>
      <c r="F312" s="345">
        <f t="shared" si="58"/>
        <v>0</v>
      </c>
      <c r="G312" s="405" t="e">
        <f t="shared" si="59"/>
        <v>#DIV/0!</v>
      </c>
      <c r="H312" s="345" t="e">
        <f t="shared" si="56"/>
        <v>#REF!</v>
      </c>
      <c r="I312" s="403" t="e">
        <f t="shared" si="57"/>
        <v>#REF!</v>
      </c>
      <c r="J312" s="87"/>
      <c r="Y312" s="133"/>
      <c r="Z312" s="133"/>
    </row>
    <row r="313" spans="1:26" s="11" customFormat="1" ht="12.75" hidden="1">
      <c r="A313" s="301" t="s">
        <v>68</v>
      </c>
      <c r="B313" s="303" t="e">
        <f>#REF!+B26-B270-B287-B311-#REF!+B261</f>
        <v>#REF!</v>
      </c>
      <c r="C313" s="303" t="e">
        <v>#REF!</v>
      </c>
      <c r="D313" s="303"/>
      <c r="E313" s="303" t="e">
        <f>#REF!+E26-E270-E287-E311-#REF!+E261</f>
        <v>#REF!</v>
      </c>
      <c r="F313" s="345" t="e">
        <f t="shared" si="58"/>
        <v>#REF!</v>
      </c>
      <c r="G313" s="405" t="e">
        <f t="shared" si="59"/>
        <v>#REF!</v>
      </c>
      <c r="H313" s="345">
        <f t="shared" si="56"/>
        <v>0</v>
      </c>
      <c r="I313" s="403"/>
      <c r="J313" s="87"/>
      <c r="Y313" s="133"/>
      <c r="Z313" s="133"/>
    </row>
    <row r="314" spans="1:26" s="22" customFormat="1" ht="12.75" customHeight="1" hidden="1">
      <c r="A314" s="301"/>
      <c r="B314" s="303"/>
      <c r="C314" s="303"/>
      <c r="D314" s="303"/>
      <c r="E314" s="303"/>
      <c r="F314" s="345"/>
      <c r="G314" s="405"/>
      <c r="H314" s="345"/>
      <c r="I314" s="428"/>
      <c r="J314" s="380"/>
      <c r="Y314" s="133"/>
      <c r="Z314" s="133"/>
    </row>
    <row r="315" spans="1:26" s="22" customFormat="1" ht="12.75" hidden="1">
      <c r="A315" s="458" t="s">
        <v>65</v>
      </c>
      <c r="B315" s="413"/>
      <c r="C315" s="413"/>
      <c r="D315" s="413"/>
      <c r="E315" s="413"/>
      <c r="F315" s="429"/>
      <c r="G315" s="426"/>
      <c r="H315" s="345" t="e">
        <f>#REF!-#REF!</f>
        <v>#REF!</v>
      </c>
      <c r="I315" s="407" t="s">
        <v>416</v>
      </c>
      <c r="J315" s="380"/>
      <c r="Y315" s="133"/>
      <c r="Z315" s="133"/>
    </row>
    <row r="316" spans="1:26" s="22" customFormat="1" ht="12.75" hidden="1">
      <c r="A316" s="346" t="s">
        <v>451</v>
      </c>
      <c r="B316" s="345">
        <f>Flujo!N39</f>
        <v>0</v>
      </c>
      <c r="C316" s="345">
        <v>29654315</v>
      </c>
      <c r="D316" s="345"/>
      <c r="E316" s="345">
        <v>30184995.999999996</v>
      </c>
      <c r="F316" s="345">
        <f>B316-D316</f>
        <v>0</v>
      </c>
      <c r="G316" s="411" t="s">
        <v>416</v>
      </c>
      <c r="H316" s="345"/>
      <c r="I316" s="403"/>
      <c r="J316" s="380">
        <v>0</v>
      </c>
      <c r="Y316" s="133"/>
      <c r="Z316" s="133"/>
    </row>
    <row r="317" spans="1:26" s="22" customFormat="1" ht="15" customHeight="1" hidden="1">
      <c r="A317" s="346"/>
      <c r="B317" s="345"/>
      <c r="C317" s="345"/>
      <c r="D317" s="345"/>
      <c r="E317" s="345"/>
      <c r="F317" s="345"/>
      <c r="G317" s="405"/>
      <c r="H317" s="357">
        <f>B318-E318</f>
        <v>-30184995.999999996</v>
      </c>
      <c r="I317" s="412">
        <f>(B318-E318)/E318</f>
        <v>-1</v>
      </c>
      <c r="J317" s="380"/>
      <c r="Y317" s="133"/>
      <c r="Z317" s="133"/>
    </row>
    <row r="318" spans="1:26" s="193" customFormat="1" ht="12.75" hidden="1">
      <c r="A318" s="451" t="s">
        <v>221</v>
      </c>
      <c r="B318" s="385">
        <f>SUM(B316:B316)</f>
        <v>0</v>
      </c>
      <c r="C318" s="385">
        <f>C316</f>
        <v>29654315</v>
      </c>
      <c r="D318" s="385">
        <f>SUM(D316:D316)</f>
        <v>0</v>
      </c>
      <c r="E318" s="385">
        <f>SUM(E316:E316)</f>
        <v>30184995.999999996</v>
      </c>
      <c r="F318" s="357">
        <f>B318-D318</f>
        <v>0</v>
      </c>
      <c r="G318" s="468" t="s">
        <v>416</v>
      </c>
      <c r="H318" s="345"/>
      <c r="I318" s="403"/>
      <c r="J318" s="385">
        <f>SUM(J316:J316)</f>
        <v>0</v>
      </c>
      <c r="L318" s="308"/>
      <c r="Y318" s="194"/>
      <c r="Z318" s="194"/>
    </row>
    <row r="319" spans="1:26" s="193" customFormat="1" ht="21" customHeight="1" hidden="1">
      <c r="A319" s="450"/>
      <c r="B319" s="384"/>
      <c r="C319" s="384"/>
      <c r="D319" s="384"/>
      <c r="E319" s="384"/>
      <c r="F319" s="345"/>
      <c r="G319" s="405"/>
      <c r="H319" s="357">
        <f>B320-E320</f>
        <v>-7340727.214399999</v>
      </c>
      <c r="I319" s="412">
        <f>(B320-E320)/E320</f>
        <v>-1</v>
      </c>
      <c r="J319" s="381"/>
      <c r="Y319" s="194" t="e">
        <f>Flujo!#REF!</f>
        <v>#REF!</v>
      </c>
      <c r="Z319" s="194" t="e">
        <f>Y319-B320</f>
        <v>#REF!</v>
      </c>
    </row>
    <row r="320" spans="1:26" s="22" customFormat="1" ht="12.75" hidden="1">
      <c r="A320" s="456" t="s">
        <v>351</v>
      </c>
      <c r="B320" s="357">
        <f>SUM(B321:B322)</f>
        <v>0</v>
      </c>
      <c r="C320" s="357">
        <v>0</v>
      </c>
      <c r="D320" s="357">
        <f>'[6]Ejecución Presupuestaria'!$CF$258</f>
        <v>4290317.109999999</v>
      </c>
      <c r="E320" s="357">
        <f>SUM(E321:E322)</f>
        <v>7340727.214399999</v>
      </c>
      <c r="F320" s="357">
        <f>B320-D320</f>
        <v>-4290317.109999999</v>
      </c>
      <c r="G320" s="412">
        <f>(B320-D320)/D320</f>
        <v>-1</v>
      </c>
      <c r="H320" s="429">
        <f>B321-E321</f>
        <v>-7340727.214399999</v>
      </c>
      <c r="I320" s="428">
        <f>(B321-E321)/E321</f>
        <v>-1</v>
      </c>
      <c r="J320" s="357">
        <f>SUM(J321:J322)</f>
        <v>0</v>
      </c>
      <c r="Y320" s="133"/>
      <c r="Z320" s="133"/>
    </row>
    <row r="321" spans="1:26" s="22" customFormat="1" ht="12.75" hidden="1">
      <c r="A321" s="459" t="s">
        <v>445</v>
      </c>
      <c r="B321" s="429">
        <f>Flujo!N147</f>
        <v>0</v>
      </c>
      <c r="C321" s="429">
        <v>76874527.82</v>
      </c>
      <c r="D321" s="429">
        <v>0</v>
      </c>
      <c r="E321" s="429">
        <v>7340727.214399999</v>
      </c>
      <c r="F321" s="429">
        <f>B321-D321</f>
        <v>0</v>
      </c>
      <c r="G321" s="430" t="s">
        <v>416</v>
      </c>
      <c r="H321" s="345">
        <f>B322-E322</f>
        <v>0</v>
      </c>
      <c r="I321" s="403"/>
      <c r="J321" s="380"/>
      <c r="Y321" s="133"/>
      <c r="Z321" s="133"/>
    </row>
    <row r="322" spans="1:26" s="22" customFormat="1" ht="12.75" hidden="1">
      <c r="A322" s="346" t="s">
        <v>392</v>
      </c>
      <c r="B322" s="345">
        <f>Flujo!N144+Flujo!N145</f>
        <v>0</v>
      </c>
      <c r="C322" s="345">
        <v>0</v>
      </c>
      <c r="D322" s="345"/>
      <c r="E322" s="345">
        <f>Flujo!N144+Flujo!N145</f>
        <v>0</v>
      </c>
      <c r="F322" s="345">
        <f>B322-D322</f>
        <v>0</v>
      </c>
      <c r="G322" s="405"/>
      <c r="H322" s="345"/>
      <c r="I322" s="403"/>
      <c r="J322" s="380"/>
      <c r="Y322" s="10"/>
      <c r="Z322" s="10"/>
    </row>
    <row r="323" spans="1:26" s="22" customFormat="1" ht="21" customHeight="1">
      <c r="A323" s="346"/>
      <c r="B323" s="345"/>
      <c r="C323" s="345"/>
      <c r="D323" s="345"/>
      <c r="E323" s="345"/>
      <c r="F323" s="345"/>
      <c r="G323" s="405"/>
      <c r="H323" s="345"/>
      <c r="I323" s="403"/>
      <c r="J323" s="380"/>
      <c r="M323" s="319">
        <f>B324/B10</f>
        <v>0.02559503241376439</v>
      </c>
      <c r="Y323" s="133"/>
      <c r="Z323" s="133"/>
    </row>
    <row r="324" spans="1:26" s="314" customFormat="1" ht="14.25">
      <c r="A324" s="456" t="s">
        <v>391</v>
      </c>
      <c r="B324" s="357">
        <f>B326+B329+B334+B338+B340+B344+B349+B354+B358</f>
        <v>37055516.019999996</v>
      </c>
      <c r="C324" s="357">
        <v>509831232</v>
      </c>
      <c r="D324" s="424">
        <f>(J324/7)*12</f>
        <v>174682694.57142857</v>
      </c>
      <c r="E324" s="357"/>
      <c r="F324" s="357">
        <f>B324-D324</f>
        <v>-137627178.55142856</v>
      </c>
      <c r="G324" s="412">
        <f>(B324-D324)/D324</f>
        <v>-0.7878695648077043</v>
      </c>
      <c r="H324" s="345"/>
      <c r="I324" s="403"/>
      <c r="J324" s="447">
        <v>101898238.5</v>
      </c>
      <c r="Y324" s="129"/>
      <c r="Z324" s="129"/>
    </row>
    <row r="325" spans="1:26" s="226" customFormat="1" ht="17.25" customHeight="1" hidden="1">
      <c r="A325" s="450"/>
      <c r="B325" s="384"/>
      <c r="C325" s="384"/>
      <c r="D325" s="384"/>
      <c r="E325" s="384"/>
      <c r="F325" s="384"/>
      <c r="G325" s="406"/>
      <c r="H325" s="431"/>
      <c r="I325" s="432"/>
      <c r="J325" s="382"/>
      <c r="L325" s="311">
        <f>B26-B324</f>
        <v>2448905189.4</v>
      </c>
      <c r="Y325" s="227"/>
      <c r="Z325" s="227"/>
    </row>
    <row r="326" spans="1:26" s="226" customFormat="1" ht="12.75" customHeight="1" hidden="1">
      <c r="A326" s="326" t="s">
        <v>832</v>
      </c>
      <c r="B326" s="386">
        <f>Flujo!N150</f>
        <v>0</v>
      </c>
      <c r="C326" s="386"/>
      <c r="D326" s="431"/>
      <c r="E326" s="431"/>
      <c r="F326" s="345">
        <f aca="true" t="shared" si="60" ref="F326:F333">B326-D326</f>
        <v>0</v>
      </c>
      <c r="G326" s="407" t="s">
        <v>416</v>
      </c>
      <c r="H326" s="431"/>
      <c r="I326" s="432"/>
      <c r="J326" s="382"/>
      <c r="Y326" s="227"/>
      <c r="Z326" s="227"/>
    </row>
    <row r="327" spans="1:26" s="312" customFormat="1" ht="12.75" customHeight="1" hidden="1">
      <c r="A327" s="369" t="s">
        <v>782</v>
      </c>
      <c r="B327" s="433">
        <f>Flujo!N151</f>
        <v>0</v>
      </c>
      <c r="C327" s="433"/>
      <c r="D327" s="431"/>
      <c r="E327" s="431"/>
      <c r="F327" s="345">
        <f t="shared" si="60"/>
        <v>0</v>
      </c>
      <c r="G327" s="407" t="s">
        <v>416</v>
      </c>
      <c r="H327" s="433">
        <f>B328-E328</f>
        <v>0</v>
      </c>
      <c r="I327" s="430" t="s">
        <v>416</v>
      </c>
      <c r="J327" s="389"/>
      <c r="Y327" s="313"/>
      <c r="Z327" s="313"/>
    </row>
    <row r="328" spans="1:26" s="312" customFormat="1" ht="12.75" customHeight="1" hidden="1">
      <c r="A328" s="369" t="s">
        <v>665</v>
      </c>
      <c r="B328" s="429">
        <f>Flujo!N152</f>
        <v>0</v>
      </c>
      <c r="C328" s="429"/>
      <c r="D328" s="433"/>
      <c r="E328" s="433"/>
      <c r="F328" s="345">
        <f t="shared" si="60"/>
        <v>0</v>
      </c>
      <c r="G328" s="407" t="s">
        <v>416</v>
      </c>
      <c r="H328" s="433"/>
      <c r="I328" s="430"/>
      <c r="J328" s="389"/>
      <c r="L328" s="482">
        <f>B324/B10</f>
        <v>0.02559503241376439</v>
      </c>
      <c r="Y328" s="313"/>
      <c r="Z328" s="313"/>
    </row>
    <row r="329" spans="1:26" s="11" customFormat="1" ht="12.75" customHeight="1">
      <c r="A329" s="326" t="s">
        <v>834</v>
      </c>
      <c r="B329" s="413">
        <f>SUM(B330:B333)</f>
        <v>15726159.12</v>
      </c>
      <c r="C329" s="429"/>
      <c r="D329" s="433"/>
      <c r="E329" s="433"/>
      <c r="F329" s="345">
        <f t="shared" si="60"/>
        <v>15726159.12</v>
      </c>
      <c r="G329" s="407" t="s">
        <v>416</v>
      </c>
      <c r="H329" s="388" t="e">
        <f>#REF!-#REF!</f>
        <v>#REF!</v>
      </c>
      <c r="I329" s="434" t="s">
        <v>416</v>
      </c>
      <c r="J329" s="87"/>
      <c r="L329" s="145">
        <f>B10*40%</f>
        <v>579104810.9799999</v>
      </c>
      <c r="Y329" s="145"/>
      <c r="Z329" s="145"/>
    </row>
    <row r="330" spans="1:26" s="226" customFormat="1" ht="12.75" customHeight="1">
      <c r="A330" s="460" t="s">
        <v>982</v>
      </c>
      <c r="B330" s="435">
        <f>Flujo!N155</f>
        <v>15726159.12</v>
      </c>
      <c r="C330" s="431"/>
      <c r="D330" s="431"/>
      <c r="E330" s="431"/>
      <c r="F330" s="345">
        <f t="shared" si="60"/>
        <v>15726159.12</v>
      </c>
      <c r="G330" s="407" t="s">
        <v>416</v>
      </c>
      <c r="H330" s="431"/>
      <c r="I330" s="432"/>
      <c r="J330" s="382"/>
      <c r="Y330" s="227"/>
      <c r="Z330" s="227"/>
    </row>
    <row r="331" spans="1:26" s="226" customFormat="1" ht="12.75" customHeight="1" hidden="1">
      <c r="A331" s="461" t="s">
        <v>990</v>
      </c>
      <c r="B331" s="435">
        <f>Flujo!N156</f>
        <v>0</v>
      </c>
      <c r="C331" s="431"/>
      <c r="D331" s="431"/>
      <c r="E331" s="431"/>
      <c r="F331" s="429">
        <f t="shared" si="60"/>
        <v>0</v>
      </c>
      <c r="G331" s="407" t="s">
        <v>416</v>
      </c>
      <c r="H331" s="431"/>
      <c r="I331" s="432"/>
      <c r="J331" s="382"/>
      <c r="Y331" s="227"/>
      <c r="Z331" s="227"/>
    </row>
    <row r="332" spans="1:26" s="226" customFormat="1" ht="12.75" customHeight="1" hidden="1">
      <c r="A332" s="461" t="s">
        <v>981</v>
      </c>
      <c r="B332" s="433">
        <f>Flujo!N157</f>
        <v>0</v>
      </c>
      <c r="C332" s="433"/>
      <c r="D332" s="431"/>
      <c r="E332" s="431"/>
      <c r="F332" s="345">
        <f t="shared" si="60"/>
        <v>0</v>
      </c>
      <c r="G332" s="407" t="s">
        <v>416</v>
      </c>
      <c r="H332" s="431"/>
      <c r="I332" s="432"/>
      <c r="J332" s="382"/>
      <c r="Y332" s="227"/>
      <c r="Z332" s="227"/>
    </row>
    <row r="333" spans="1:26" s="226" customFormat="1" ht="12.75" customHeight="1" hidden="1">
      <c r="A333" s="461" t="s">
        <v>984</v>
      </c>
      <c r="B333" s="433">
        <f>Flujo!N158</f>
        <v>0</v>
      </c>
      <c r="C333" s="433"/>
      <c r="D333" s="435"/>
      <c r="E333" s="431"/>
      <c r="F333" s="433">
        <f t="shared" si="60"/>
        <v>0</v>
      </c>
      <c r="G333" s="407" t="s">
        <v>416</v>
      </c>
      <c r="H333" s="431"/>
      <c r="I333" s="432"/>
      <c r="J333" s="382"/>
      <c r="Y333" s="227"/>
      <c r="Z333" s="227"/>
    </row>
    <row r="334" spans="1:26" s="226" customFormat="1" ht="12.75" customHeight="1" hidden="1">
      <c r="A334" s="330" t="s">
        <v>835</v>
      </c>
      <c r="B334" s="326">
        <f>Flujo!N159</f>
        <v>0</v>
      </c>
      <c r="C334" s="326"/>
      <c r="D334" s="326"/>
      <c r="E334" s="326"/>
      <c r="F334" s="433">
        <f aca="true" t="shared" si="61" ref="F334:F358">B334-D334</f>
        <v>0</v>
      </c>
      <c r="G334" s="407" t="s">
        <v>416</v>
      </c>
      <c r="H334" s="357"/>
      <c r="I334" s="412"/>
      <c r="J334" s="382"/>
      <c r="Y334" s="227"/>
      <c r="Z334" s="227"/>
    </row>
    <row r="335" spans="1:26" s="226" customFormat="1" ht="12.75" customHeight="1" hidden="1">
      <c r="A335" s="461" t="s">
        <v>836</v>
      </c>
      <c r="B335" s="369">
        <f>Flujo!N160</f>
        <v>0</v>
      </c>
      <c r="C335" s="326"/>
      <c r="D335" s="326"/>
      <c r="E335" s="326"/>
      <c r="F335" s="433">
        <f t="shared" si="61"/>
        <v>0</v>
      </c>
      <c r="G335" s="407" t="s">
        <v>416</v>
      </c>
      <c r="H335" s="357"/>
      <c r="I335" s="412"/>
      <c r="J335" s="382"/>
      <c r="Y335" s="227"/>
      <c r="Z335" s="227"/>
    </row>
    <row r="336" spans="1:26" s="226" customFormat="1" ht="12.75" customHeight="1" hidden="1">
      <c r="A336" s="461" t="s">
        <v>837</v>
      </c>
      <c r="B336" s="369">
        <f>Flujo!N161</f>
        <v>0</v>
      </c>
      <c r="C336" s="326"/>
      <c r="D336" s="326"/>
      <c r="E336" s="326"/>
      <c r="F336" s="433">
        <f t="shared" si="61"/>
        <v>0</v>
      </c>
      <c r="G336" s="407" t="s">
        <v>416</v>
      </c>
      <c r="H336" s="357"/>
      <c r="I336" s="412"/>
      <c r="J336" s="382"/>
      <c r="Y336" s="227"/>
      <c r="Z336" s="227"/>
    </row>
    <row r="337" spans="1:26" s="226" customFormat="1" ht="12.75" customHeight="1" hidden="1">
      <c r="A337" s="462" t="s">
        <v>854</v>
      </c>
      <c r="B337" s="369">
        <f>Flujo!N162</f>
        <v>0</v>
      </c>
      <c r="C337" s="326"/>
      <c r="D337" s="326"/>
      <c r="E337" s="326"/>
      <c r="F337" s="433">
        <f t="shared" si="61"/>
        <v>0</v>
      </c>
      <c r="G337" s="407" t="s">
        <v>416</v>
      </c>
      <c r="H337" s="357"/>
      <c r="I337" s="412"/>
      <c r="J337" s="382"/>
      <c r="Y337" s="227"/>
      <c r="Z337" s="227"/>
    </row>
    <row r="338" spans="1:26" s="226" customFormat="1" ht="12.75" customHeight="1">
      <c r="A338" s="351" t="s">
        <v>783</v>
      </c>
      <c r="B338" s="326">
        <f>Flujo!N163</f>
        <v>12500000</v>
      </c>
      <c r="C338" s="326"/>
      <c r="D338" s="326"/>
      <c r="E338" s="326"/>
      <c r="F338" s="433">
        <f t="shared" si="61"/>
        <v>12500000</v>
      </c>
      <c r="G338" s="407" t="s">
        <v>416</v>
      </c>
      <c r="H338" s="357"/>
      <c r="I338" s="412"/>
      <c r="J338" s="382"/>
      <c r="Y338" s="227"/>
      <c r="Z338" s="227"/>
    </row>
    <row r="339" spans="1:26" s="226" customFormat="1" ht="12.75" customHeight="1">
      <c r="A339" s="462" t="s">
        <v>838</v>
      </c>
      <c r="B339" s="369">
        <f>Flujo!N164</f>
        <v>12500000</v>
      </c>
      <c r="C339" s="326"/>
      <c r="D339" s="326"/>
      <c r="E339" s="326"/>
      <c r="F339" s="433">
        <f t="shared" si="61"/>
        <v>12500000</v>
      </c>
      <c r="G339" s="407" t="s">
        <v>416</v>
      </c>
      <c r="H339" s="357"/>
      <c r="I339" s="412"/>
      <c r="J339" s="382"/>
      <c r="Y339" s="227"/>
      <c r="Z339" s="227"/>
    </row>
    <row r="340" spans="1:26" s="226" customFormat="1" ht="12.75" customHeight="1">
      <c r="A340" s="351" t="s">
        <v>839</v>
      </c>
      <c r="B340" s="326">
        <f>Flujo!N165</f>
        <v>8829356.9</v>
      </c>
      <c r="C340" s="326"/>
      <c r="D340" s="326"/>
      <c r="E340" s="326"/>
      <c r="F340" s="433">
        <f t="shared" si="61"/>
        <v>8829356.9</v>
      </c>
      <c r="G340" s="407" t="s">
        <v>416</v>
      </c>
      <c r="H340" s="357"/>
      <c r="I340" s="412"/>
      <c r="J340" s="382"/>
      <c r="Y340" s="227"/>
      <c r="Z340" s="227"/>
    </row>
    <row r="341" spans="1:26" s="226" customFormat="1" ht="12.75" customHeight="1">
      <c r="A341" s="462" t="s">
        <v>840</v>
      </c>
      <c r="B341" s="369">
        <f>Flujo!N166</f>
        <v>3044251.35</v>
      </c>
      <c r="C341" s="326"/>
      <c r="D341" s="326"/>
      <c r="E341" s="326"/>
      <c r="F341" s="433">
        <f t="shared" si="61"/>
        <v>3044251.35</v>
      </c>
      <c r="G341" s="407" t="s">
        <v>416</v>
      </c>
      <c r="H341" s="357"/>
      <c r="I341" s="412"/>
      <c r="J341" s="382"/>
      <c r="Y341" s="227"/>
      <c r="Z341" s="227"/>
    </row>
    <row r="342" spans="1:26" s="226" customFormat="1" ht="12.75" customHeight="1">
      <c r="A342" s="462" t="s">
        <v>841</v>
      </c>
      <c r="B342" s="369">
        <f>Flujo!N167</f>
        <v>3044251.35</v>
      </c>
      <c r="C342" s="326"/>
      <c r="D342" s="326"/>
      <c r="E342" s="326"/>
      <c r="F342" s="433">
        <f t="shared" si="61"/>
        <v>3044251.35</v>
      </c>
      <c r="G342" s="407" t="s">
        <v>416</v>
      </c>
      <c r="H342" s="357"/>
      <c r="I342" s="412"/>
      <c r="J342" s="382"/>
      <c r="Y342" s="227"/>
      <c r="Z342" s="227"/>
    </row>
    <row r="343" spans="1:26" s="226" customFormat="1" ht="12.75" customHeight="1">
      <c r="A343" s="462" t="s">
        <v>842</v>
      </c>
      <c r="B343" s="369">
        <f>Flujo!N168</f>
        <v>2740854.2</v>
      </c>
      <c r="C343" s="326"/>
      <c r="D343" s="326"/>
      <c r="E343" s="326"/>
      <c r="F343" s="433">
        <f t="shared" si="61"/>
        <v>2740854.2</v>
      </c>
      <c r="G343" s="407" t="s">
        <v>416</v>
      </c>
      <c r="H343" s="357"/>
      <c r="I343" s="412"/>
      <c r="J343" s="382"/>
      <c r="Y343" s="227"/>
      <c r="Z343" s="227"/>
    </row>
    <row r="344" spans="1:26" s="226" customFormat="1" ht="12.75" customHeight="1" hidden="1">
      <c r="A344" s="351" t="s">
        <v>843</v>
      </c>
      <c r="B344" s="326">
        <f>Flujo!N169</f>
        <v>0</v>
      </c>
      <c r="C344" s="326"/>
      <c r="D344" s="326"/>
      <c r="E344" s="326"/>
      <c r="F344" s="433">
        <f t="shared" si="61"/>
        <v>0</v>
      </c>
      <c r="G344" s="407" t="s">
        <v>416</v>
      </c>
      <c r="H344" s="357"/>
      <c r="I344" s="412"/>
      <c r="J344" s="382"/>
      <c r="Y344" s="227"/>
      <c r="Z344" s="227"/>
    </row>
    <row r="345" spans="1:26" s="226" customFormat="1" ht="12.75" customHeight="1" hidden="1">
      <c r="A345" s="462" t="s">
        <v>844</v>
      </c>
      <c r="B345" s="369">
        <f>Flujo!N170</f>
        <v>0</v>
      </c>
      <c r="C345" s="326"/>
      <c r="D345" s="326"/>
      <c r="E345" s="326"/>
      <c r="F345" s="433">
        <f t="shared" si="61"/>
        <v>0</v>
      </c>
      <c r="G345" s="407" t="s">
        <v>416</v>
      </c>
      <c r="H345" s="357"/>
      <c r="I345" s="412"/>
      <c r="J345" s="382"/>
      <c r="Y345" s="227"/>
      <c r="Z345" s="227"/>
    </row>
    <row r="346" spans="1:26" s="226" customFormat="1" ht="12.75" customHeight="1" hidden="1">
      <c r="A346" s="462" t="s">
        <v>782</v>
      </c>
      <c r="B346" s="369">
        <f>Flujo!N171</f>
        <v>0</v>
      </c>
      <c r="C346" s="326"/>
      <c r="D346" s="326"/>
      <c r="E346" s="326"/>
      <c r="F346" s="433">
        <f t="shared" si="61"/>
        <v>0</v>
      </c>
      <c r="G346" s="407" t="s">
        <v>416</v>
      </c>
      <c r="H346" s="357"/>
      <c r="I346" s="412"/>
      <c r="J346" s="382"/>
      <c r="Y346" s="227"/>
      <c r="Z346" s="227"/>
    </row>
    <row r="347" spans="1:26" s="226" customFormat="1" ht="12.75" customHeight="1" hidden="1">
      <c r="A347" s="462" t="s">
        <v>846</v>
      </c>
      <c r="B347" s="369">
        <f>Flujo!N172</f>
        <v>0</v>
      </c>
      <c r="C347" s="326"/>
      <c r="D347" s="326"/>
      <c r="E347" s="326"/>
      <c r="F347" s="433">
        <f t="shared" si="61"/>
        <v>0</v>
      </c>
      <c r="G347" s="407" t="s">
        <v>416</v>
      </c>
      <c r="H347" s="357"/>
      <c r="I347" s="412"/>
      <c r="J347" s="382"/>
      <c r="Y347" s="227"/>
      <c r="Z347" s="227"/>
    </row>
    <row r="348" spans="1:26" s="226" customFormat="1" ht="12.75" customHeight="1" hidden="1">
      <c r="A348" s="462" t="s">
        <v>845</v>
      </c>
      <c r="B348" s="369">
        <f>Flujo!N173</f>
        <v>0</v>
      </c>
      <c r="C348" s="326"/>
      <c r="D348" s="326"/>
      <c r="E348" s="326"/>
      <c r="F348" s="433">
        <f t="shared" si="61"/>
        <v>0</v>
      </c>
      <c r="G348" s="407" t="s">
        <v>416</v>
      </c>
      <c r="H348" s="357"/>
      <c r="I348" s="412"/>
      <c r="J348" s="382"/>
      <c r="Y348" s="227"/>
      <c r="Z348" s="227"/>
    </row>
    <row r="349" spans="1:26" s="226" customFormat="1" ht="12.75" customHeight="1" hidden="1">
      <c r="A349" s="351" t="s">
        <v>847</v>
      </c>
      <c r="B349" s="326">
        <f>Flujo!N174</f>
        <v>0</v>
      </c>
      <c r="C349" s="326"/>
      <c r="D349" s="326"/>
      <c r="E349" s="326"/>
      <c r="F349" s="433">
        <f t="shared" si="61"/>
        <v>0</v>
      </c>
      <c r="G349" s="407" t="s">
        <v>416</v>
      </c>
      <c r="H349" s="357"/>
      <c r="I349" s="412"/>
      <c r="J349" s="382"/>
      <c r="Y349" s="227"/>
      <c r="Z349" s="227"/>
    </row>
    <row r="350" spans="1:26" s="226" customFormat="1" ht="12.75" customHeight="1" hidden="1">
      <c r="A350" s="462" t="s">
        <v>848</v>
      </c>
      <c r="B350" s="369">
        <f>Flujo!N175</f>
        <v>0</v>
      </c>
      <c r="C350" s="326"/>
      <c r="D350" s="326"/>
      <c r="E350" s="326"/>
      <c r="F350" s="433">
        <f t="shared" si="61"/>
        <v>0</v>
      </c>
      <c r="G350" s="407" t="s">
        <v>416</v>
      </c>
      <c r="H350" s="357"/>
      <c r="I350" s="412"/>
      <c r="J350" s="382"/>
      <c r="Y350" s="227"/>
      <c r="Z350" s="227"/>
    </row>
    <row r="351" spans="1:26" s="226" customFormat="1" ht="12.75" customHeight="1" hidden="1">
      <c r="A351" s="462" t="s">
        <v>849</v>
      </c>
      <c r="B351" s="369">
        <f>Flujo!N176</f>
        <v>0</v>
      </c>
      <c r="C351" s="326"/>
      <c r="D351" s="326"/>
      <c r="E351" s="326"/>
      <c r="F351" s="433">
        <f t="shared" si="61"/>
        <v>0</v>
      </c>
      <c r="G351" s="407" t="s">
        <v>416</v>
      </c>
      <c r="H351" s="357"/>
      <c r="I351" s="412"/>
      <c r="J351" s="382"/>
      <c r="Y351" s="227"/>
      <c r="Z351" s="227"/>
    </row>
    <row r="352" spans="1:26" s="226" customFormat="1" ht="12.75" customHeight="1" hidden="1">
      <c r="A352" s="462" t="s">
        <v>935</v>
      </c>
      <c r="B352" s="369">
        <f>Flujo!N177</f>
        <v>0</v>
      </c>
      <c r="C352" s="326"/>
      <c r="D352" s="326"/>
      <c r="E352" s="326"/>
      <c r="F352" s="433">
        <f t="shared" si="61"/>
        <v>0</v>
      </c>
      <c r="G352" s="407" t="s">
        <v>416</v>
      </c>
      <c r="H352" s="357"/>
      <c r="I352" s="412"/>
      <c r="J352" s="382"/>
      <c r="Y352" s="227"/>
      <c r="Z352" s="227"/>
    </row>
    <row r="353" spans="1:26" s="226" customFormat="1" ht="12.75" customHeight="1" hidden="1">
      <c r="A353" s="462" t="s">
        <v>936</v>
      </c>
      <c r="B353" s="369">
        <f>Flujo!N178</f>
        <v>0</v>
      </c>
      <c r="C353" s="326"/>
      <c r="D353" s="326"/>
      <c r="E353" s="326"/>
      <c r="F353" s="433">
        <f t="shared" si="61"/>
        <v>0</v>
      </c>
      <c r="G353" s="407" t="s">
        <v>416</v>
      </c>
      <c r="H353" s="357"/>
      <c r="I353" s="412"/>
      <c r="J353" s="382"/>
      <c r="Y353" s="227"/>
      <c r="Z353" s="227"/>
    </row>
    <row r="354" spans="1:26" s="226" customFormat="1" ht="12.75" customHeight="1" hidden="1">
      <c r="A354" s="351" t="s">
        <v>333</v>
      </c>
      <c r="B354" s="326">
        <f>Flujo!N179</f>
        <v>0</v>
      </c>
      <c r="C354" s="326"/>
      <c r="D354" s="326"/>
      <c r="E354" s="326"/>
      <c r="F354" s="433">
        <f t="shared" si="61"/>
        <v>0</v>
      </c>
      <c r="G354" s="407" t="s">
        <v>416</v>
      </c>
      <c r="H354" s="357"/>
      <c r="I354" s="412"/>
      <c r="J354" s="382"/>
      <c r="Y354" s="227"/>
      <c r="Z354" s="227"/>
    </row>
    <row r="355" spans="1:26" s="226" customFormat="1" ht="12.75" customHeight="1" hidden="1">
      <c r="A355" s="462" t="s">
        <v>850</v>
      </c>
      <c r="B355" s="369">
        <f>Flujo!N180</f>
        <v>0</v>
      </c>
      <c r="C355" s="326"/>
      <c r="D355" s="326"/>
      <c r="E355" s="326"/>
      <c r="F355" s="433">
        <f t="shared" si="61"/>
        <v>0</v>
      </c>
      <c r="G355" s="407" t="s">
        <v>416</v>
      </c>
      <c r="H355" s="357"/>
      <c r="I355" s="412"/>
      <c r="J355" s="382"/>
      <c r="Y355" s="227"/>
      <c r="Z355" s="227"/>
    </row>
    <row r="356" spans="1:26" s="226" customFormat="1" ht="12.75" customHeight="1" hidden="1">
      <c r="A356" s="462" t="s">
        <v>851</v>
      </c>
      <c r="B356" s="369">
        <f>Flujo!N181</f>
        <v>0</v>
      </c>
      <c r="C356" s="326"/>
      <c r="D356" s="326"/>
      <c r="E356" s="326"/>
      <c r="F356" s="433">
        <f t="shared" si="61"/>
        <v>0</v>
      </c>
      <c r="G356" s="407" t="s">
        <v>416</v>
      </c>
      <c r="H356" s="357"/>
      <c r="I356" s="412"/>
      <c r="J356" s="382"/>
      <c r="Y356" s="227"/>
      <c r="Z356" s="227"/>
    </row>
    <row r="357" spans="1:26" s="226" customFormat="1" ht="12.75" customHeight="1" hidden="1">
      <c r="A357" s="462" t="s">
        <v>852</v>
      </c>
      <c r="B357" s="369">
        <f>Flujo!N182</f>
        <v>0</v>
      </c>
      <c r="C357" s="326"/>
      <c r="D357" s="326"/>
      <c r="E357" s="326"/>
      <c r="F357" s="433">
        <f t="shared" si="61"/>
        <v>0</v>
      </c>
      <c r="G357" s="407" t="s">
        <v>416</v>
      </c>
      <c r="H357" s="357"/>
      <c r="I357" s="412"/>
      <c r="J357" s="382"/>
      <c r="Y357" s="227"/>
      <c r="Z357" s="227"/>
    </row>
    <row r="358" spans="1:26" s="226" customFormat="1" ht="12.75" customHeight="1" hidden="1">
      <c r="A358" s="351" t="s">
        <v>948</v>
      </c>
      <c r="B358" s="326">
        <f>Flujo!N183</f>
        <v>0</v>
      </c>
      <c r="C358" s="326"/>
      <c r="D358" s="326"/>
      <c r="E358" s="326"/>
      <c r="F358" s="433">
        <f t="shared" si="61"/>
        <v>0</v>
      </c>
      <c r="G358" s="407" t="s">
        <v>416</v>
      </c>
      <c r="H358" s="357"/>
      <c r="I358" s="412"/>
      <c r="J358" s="382"/>
      <c r="Y358" s="227"/>
      <c r="Z358" s="227"/>
    </row>
    <row r="359" spans="1:26" s="375" customFormat="1" ht="19.5" customHeight="1">
      <c r="A359" s="456" t="s">
        <v>909</v>
      </c>
      <c r="B359" s="357">
        <f>B324+B289</f>
        <v>2504091253.425521</v>
      </c>
      <c r="C359" s="357">
        <f>C324+C289+C318</f>
        <v>2006942168.08</v>
      </c>
      <c r="D359" s="357">
        <f>D324+D289</f>
        <v>1780160574.08</v>
      </c>
      <c r="E359" s="357"/>
      <c r="F359" s="357">
        <f>B359-D359</f>
        <v>723930679.345521</v>
      </c>
      <c r="G359" s="412">
        <f>(B359-D359)/D359</f>
        <v>0.40666594344707</v>
      </c>
      <c r="H359" s="357"/>
      <c r="I359" s="412"/>
      <c r="J359" s="357">
        <f>J324+J289</f>
        <v>1038576553.3599999</v>
      </c>
      <c r="Y359" s="376"/>
      <c r="Z359" s="376"/>
    </row>
    <row r="360" spans="1:26" s="375" customFormat="1" ht="19.5" customHeight="1">
      <c r="A360" s="463"/>
      <c r="B360" s="436"/>
      <c r="C360" s="436"/>
      <c r="D360" s="436"/>
      <c r="E360" s="436"/>
      <c r="F360" s="436"/>
      <c r="G360" s="437"/>
      <c r="H360" s="436"/>
      <c r="I360" s="437"/>
      <c r="J360" s="436"/>
      <c r="Y360" s="376"/>
      <c r="Z360" s="376"/>
    </row>
    <row r="361" spans="1:26" s="226" customFormat="1" ht="12.75" customHeight="1">
      <c r="A361" s="464"/>
      <c r="B361" s="522"/>
      <c r="C361" s="521" t="s">
        <v>978</v>
      </c>
      <c r="D361" s="190" t="s">
        <v>472</v>
      </c>
      <c r="E361" s="440"/>
      <c r="F361" s="440"/>
      <c r="G361" s="441"/>
      <c r="H361" s="438"/>
      <c r="I361" s="439"/>
      <c r="J361" s="390"/>
      <c r="Y361" s="227"/>
      <c r="Z361" s="227"/>
    </row>
    <row r="362" spans="1:26" s="226" customFormat="1" ht="28.5" customHeight="1" hidden="1">
      <c r="A362" s="456" t="s">
        <v>576</v>
      </c>
      <c r="B362" s="486">
        <f>B26-B259-B287-B318-B320-B324</f>
        <v>-18130548.00552062</v>
      </c>
      <c r="C362" s="438">
        <v>52653616.98678166</v>
      </c>
      <c r="D362" s="440"/>
      <c r="E362" s="440"/>
      <c r="F362" s="440"/>
      <c r="G362" s="441"/>
      <c r="H362" s="438"/>
      <c r="I362" s="439"/>
      <c r="J362" s="390"/>
      <c r="Y362" s="227"/>
      <c r="Z362" s="227"/>
    </row>
    <row r="363" spans="1:26" s="226" customFormat="1" ht="30.75" customHeight="1">
      <c r="A363" s="465" t="s">
        <v>649</v>
      </c>
      <c r="B363" s="357">
        <f>B7+B26-B30-B64-B183-B234-B255-B287-B318-B320-B324</f>
        <v>141650050.95447963</v>
      </c>
      <c r="C363" s="326">
        <v>-434081976</v>
      </c>
      <c r="D363" s="386">
        <f>C363-B363</f>
        <v>-575732026.9544797</v>
      </c>
      <c r="E363" s="440"/>
      <c r="F363" s="440"/>
      <c r="G363" s="441"/>
      <c r="H363" s="438"/>
      <c r="I363" s="439"/>
      <c r="J363" s="390"/>
      <c r="Y363" s="227"/>
      <c r="Z363" s="227"/>
    </row>
    <row r="364" spans="1:26" s="226" customFormat="1" ht="30.75" customHeight="1">
      <c r="A364" s="465" t="s">
        <v>660</v>
      </c>
      <c r="B364" s="357">
        <f>B26-B259-B287-B324</f>
        <v>-18130548.00552062</v>
      </c>
      <c r="C364" s="326">
        <v>-794219176</v>
      </c>
      <c r="D364" s="386">
        <f>C364-B364</f>
        <v>-776088627.9944794</v>
      </c>
      <c r="E364" s="440"/>
      <c r="F364" s="440"/>
      <c r="G364" s="441"/>
      <c r="H364" s="438"/>
      <c r="I364" s="439"/>
      <c r="J364" s="390"/>
      <c r="Y364" s="227"/>
      <c r="Z364" s="227"/>
    </row>
    <row r="365" spans="1:26" s="226" customFormat="1" ht="38.25" customHeight="1">
      <c r="A365" s="465" t="s">
        <v>661</v>
      </c>
      <c r="B365" s="357">
        <f>B26-B289</f>
        <v>18924968.01447916</v>
      </c>
      <c r="C365" s="386">
        <v>-152385768</v>
      </c>
      <c r="D365" s="386">
        <f>C365-B365</f>
        <v>-171310736.01447916</v>
      </c>
      <c r="E365" s="440"/>
      <c r="F365" s="440"/>
      <c r="G365" s="441"/>
      <c r="H365" s="438"/>
      <c r="I365" s="439"/>
      <c r="J365" s="390">
        <f>-A360</f>
        <v>0</v>
      </c>
      <c r="Y365" s="227"/>
      <c r="Z365" s="227"/>
    </row>
    <row r="366" spans="1:26" s="226" customFormat="1" ht="39.75" customHeight="1">
      <c r="A366" s="465" t="s">
        <v>650</v>
      </c>
      <c r="B366" s="357">
        <f>B7+B26-B289</f>
        <v>178705566.9744792</v>
      </c>
      <c r="C366" s="386">
        <v>207751432</v>
      </c>
      <c r="D366" s="386">
        <f>C366-B366</f>
        <v>29045865.0255208</v>
      </c>
      <c r="E366" s="440"/>
      <c r="F366" s="440"/>
      <c r="G366" s="441"/>
      <c r="H366" s="438"/>
      <c r="I366" s="439"/>
      <c r="J366" s="390"/>
      <c r="Y366" s="227"/>
      <c r="Z366" s="227"/>
    </row>
    <row r="367" spans="1:26" s="226" customFormat="1" ht="19.5" customHeight="1">
      <c r="A367" s="466"/>
      <c r="B367" s="442"/>
      <c r="C367" s="442"/>
      <c r="D367" s="442">
        <f>(B324+B320)/B10</f>
        <v>0.02559503241376439</v>
      </c>
      <c r="E367" s="440"/>
      <c r="F367" s="440"/>
      <c r="G367" s="441"/>
      <c r="H367" s="438"/>
      <c r="I367" s="439"/>
      <c r="J367" s="390"/>
      <c r="Y367" s="227"/>
      <c r="Z367" s="227"/>
    </row>
    <row r="368" spans="1:26" s="226" customFormat="1" ht="19.5" customHeight="1">
      <c r="A368" s="466"/>
      <c r="B368" s="443"/>
      <c r="C368" s="440"/>
      <c r="D368" s="440"/>
      <c r="E368" s="440"/>
      <c r="F368" s="440"/>
      <c r="G368" s="441"/>
      <c r="H368" s="438"/>
      <c r="I368" s="439"/>
      <c r="J368" s="390"/>
      <c r="Y368" s="227"/>
      <c r="Z368" s="227"/>
    </row>
    <row r="369" spans="1:26" s="226" customFormat="1" ht="19.5" customHeight="1">
      <c r="A369" s="466"/>
      <c r="B369" s="440"/>
      <c r="C369" s="440"/>
      <c r="D369" s="440"/>
      <c r="E369" s="440"/>
      <c r="F369" s="440"/>
      <c r="G369" s="441"/>
      <c r="H369" s="438"/>
      <c r="I369" s="439"/>
      <c r="J369" s="390"/>
      <c r="Y369" s="227"/>
      <c r="Z369" s="227"/>
    </row>
    <row r="370" spans="1:26" s="22" customFormat="1" ht="19.5" customHeight="1">
      <c r="A370" s="466"/>
      <c r="B370" s="440"/>
      <c r="C370" s="440"/>
      <c r="D370" s="440"/>
      <c r="E370" s="440"/>
      <c r="F370" s="440"/>
      <c r="G370" s="441"/>
      <c r="H370" s="165"/>
      <c r="I370" s="444">
        <f>792710/11332967</f>
        <v>0.06994726094234634</v>
      </c>
      <c r="J370" s="379"/>
      <c r="Y370" s="10"/>
      <c r="Z370" s="10"/>
    </row>
    <row r="371" spans="1:26" s="22" customFormat="1" ht="19.5" customHeight="1" hidden="1">
      <c r="A371" s="59"/>
      <c r="B371" s="165">
        <f>B318+B287+B259+B320</f>
        <v>2467035737.405521</v>
      </c>
      <c r="C371" s="165"/>
      <c r="D371" s="165">
        <f>B259+B287+B318</f>
        <v>2467035737.405521</v>
      </c>
      <c r="E371" s="165"/>
      <c r="F371" s="165"/>
      <c r="G371" s="379"/>
      <c r="H371" s="165"/>
      <c r="I371" s="444"/>
      <c r="J371" s="379"/>
      <c r="Y371" s="10"/>
      <c r="Z371" s="10"/>
    </row>
    <row r="372" spans="1:27" s="22" customFormat="1" ht="36" customHeight="1" hidden="1">
      <c r="A372" s="59"/>
      <c r="B372" s="165">
        <f>B26-B371</f>
        <v>18924968.01447916</v>
      </c>
      <c r="C372" s="165"/>
      <c r="D372" s="165">
        <f>D371-B26</f>
        <v>-18924968.01447916</v>
      </c>
      <c r="E372" s="165"/>
      <c r="F372" s="165" t="s">
        <v>500</v>
      </c>
      <c r="G372" s="379"/>
      <c r="H372" s="165"/>
      <c r="I372" s="444"/>
      <c r="J372" s="379"/>
      <c r="Y372" s="10"/>
      <c r="Z372" s="721" t="s">
        <v>406</v>
      </c>
      <c r="AA372" s="721"/>
    </row>
    <row r="373" spans="1:27" s="22" customFormat="1" ht="24" customHeight="1" hidden="1">
      <c r="A373" s="59"/>
      <c r="B373" s="165">
        <f>B372</f>
        <v>18924968.01447916</v>
      </c>
      <c r="C373" s="165"/>
      <c r="D373" s="165"/>
      <c r="E373" s="165" t="e">
        <f>B372-#REF!</f>
        <v>#REF!</v>
      </c>
      <c r="F373" s="165"/>
      <c r="G373" s="379"/>
      <c r="H373" s="165"/>
      <c r="I373" s="444"/>
      <c r="J373" s="379"/>
      <c r="Y373" s="10"/>
      <c r="Z373" s="213"/>
      <c r="AA373" s="213"/>
    </row>
    <row r="374" spans="1:27" s="22" customFormat="1" ht="19.5" customHeight="1" hidden="1">
      <c r="A374" s="59"/>
      <c r="B374" s="165">
        <f>B259-B10</f>
        <v>952507580.6755209</v>
      </c>
      <c r="C374" s="165"/>
      <c r="D374" s="165"/>
      <c r="E374" s="165"/>
      <c r="F374" s="165"/>
      <c r="G374" s="379"/>
      <c r="H374" s="165"/>
      <c r="I374" s="444"/>
      <c r="J374" s="379"/>
      <c r="Y374" s="10"/>
      <c r="Z374" s="209" t="s">
        <v>397</v>
      </c>
      <c r="AA374" s="209" t="s">
        <v>407</v>
      </c>
    </row>
    <row r="375" spans="1:27" s="22" customFormat="1" ht="21.75" customHeight="1" hidden="1">
      <c r="A375" s="59"/>
      <c r="B375" s="445">
        <f>B259/B10</f>
        <v>1.657917228533207</v>
      </c>
      <c r="C375" s="445"/>
      <c r="D375" s="445"/>
      <c r="E375" s="445"/>
      <c r="F375" s="165"/>
      <c r="G375" s="379"/>
      <c r="H375" s="165"/>
      <c r="I375" s="446" t="e">
        <f>F376-#REF!</f>
        <v>#REF!</v>
      </c>
      <c r="J375" s="379"/>
      <c r="Y375" s="10"/>
      <c r="Z375" s="210" t="s">
        <v>217</v>
      </c>
      <c r="AA375" s="211">
        <f>B26</f>
        <v>2485960705.42</v>
      </c>
    </row>
    <row r="376" spans="2:27" ht="21.75" customHeight="1" hidden="1">
      <c r="B376" s="445">
        <f>100%-B375</f>
        <v>-0.6579172285332071</v>
      </c>
      <c r="C376" s="445"/>
      <c r="D376" s="445"/>
      <c r="E376" s="445"/>
      <c r="F376" s="165" t="e">
        <f>B23+B20+#REF!+B11</f>
        <v>#REF!</v>
      </c>
      <c r="Z376" s="210" t="s">
        <v>405</v>
      </c>
      <c r="AA376" s="211" t="e">
        <f>#REF!</f>
        <v>#REF!</v>
      </c>
    </row>
    <row r="377" spans="26:27" ht="21.75" customHeight="1" hidden="1">
      <c r="Z377" s="210" t="s">
        <v>72</v>
      </c>
      <c r="AA377" s="212" t="e">
        <f>AA375-AA376</f>
        <v>#REF!</v>
      </c>
    </row>
    <row r="378" ht="12.75" hidden="1">
      <c r="B378" s="165">
        <f>B318+B287+B259</f>
        <v>2467035737.405521</v>
      </c>
    </row>
    <row r="379" spans="1:27" ht="45.75" customHeight="1" hidden="1">
      <c r="A379" s="467"/>
      <c r="B379" s="165" t="e">
        <f>B378-#REF!</f>
        <v>#REF!</v>
      </c>
      <c r="Z379" s="721" t="s">
        <v>406</v>
      </c>
      <c r="AA379" s="721"/>
    </row>
    <row r="380" spans="2:27" ht="15.75" hidden="1">
      <c r="B380" s="165" t="e">
        <f>B26-B379</f>
        <v>#REF!</v>
      </c>
      <c r="Z380" s="213"/>
      <c r="AA380" s="213"/>
    </row>
    <row r="381" spans="26:27" ht="12.75" hidden="1">
      <c r="Z381" s="209" t="s">
        <v>397</v>
      </c>
      <c r="AA381" s="209" t="s">
        <v>407</v>
      </c>
    </row>
    <row r="382" spans="26:27" ht="12.75" hidden="1">
      <c r="Z382" s="210" t="s">
        <v>291</v>
      </c>
      <c r="AA382" s="211">
        <f>B26</f>
        <v>2485960705.42</v>
      </c>
    </row>
    <row r="383" spans="26:27" ht="12.75" hidden="1">
      <c r="Z383" s="210" t="s">
        <v>292</v>
      </c>
      <c r="AA383" s="211">
        <f>B259</f>
        <v>2400269608.1255207</v>
      </c>
    </row>
    <row r="384" spans="26:27" ht="12.75" hidden="1">
      <c r="Z384" s="210" t="s">
        <v>448</v>
      </c>
      <c r="AA384" s="211">
        <f>B318</f>
        <v>0</v>
      </c>
    </row>
    <row r="385" spans="26:27" ht="12.75" hidden="1">
      <c r="Z385" s="210" t="s">
        <v>449</v>
      </c>
      <c r="AA385" s="211">
        <f>B321</f>
        <v>0</v>
      </c>
    </row>
    <row r="386" spans="26:27" ht="12.75" hidden="1">
      <c r="Z386" s="210" t="s">
        <v>447</v>
      </c>
      <c r="AA386" s="211">
        <f>B287</f>
        <v>66766129.279999994</v>
      </c>
    </row>
    <row r="387" spans="26:27" ht="12.75" hidden="1">
      <c r="Z387" s="210" t="s">
        <v>391</v>
      </c>
      <c r="AA387" s="211" t="e">
        <f>#REF!</f>
        <v>#REF!</v>
      </c>
    </row>
    <row r="388" spans="26:27" ht="12.75" hidden="1">
      <c r="Z388" s="210" t="s">
        <v>72</v>
      </c>
      <c r="AA388" s="212" t="e">
        <f>AA382-AA383-AA384-AA385-AA386-AA387</f>
        <v>#REF!</v>
      </c>
    </row>
    <row r="390" spans="26:27" ht="12.75">
      <c r="Z390" s="209" t="s">
        <v>397</v>
      </c>
      <c r="AA390" s="209" t="s">
        <v>407</v>
      </c>
    </row>
    <row r="391" spans="26:27" ht="12.75">
      <c r="Z391" s="210" t="s">
        <v>291</v>
      </c>
      <c r="AA391" s="211">
        <f>AA382</f>
        <v>2485960705.42</v>
      </c>
    </row>
    <row r="392" spans="26:27" ht="12.75">
      <c r="Z392" s="210" t="s">
        <v>292</v>
      </c>
      <c r="AA392" s="211">
        <f>AA383</f>
        <v>2400269608.1255207</v>
      </c>
    </row>
    <row r="393" spans="26:27" ht="12.75">
      <c r="Z393" s="210" t="s">
        <v>448</v>
      </c>
      <c r="AA393" s="211">
        <f>B318</f>
        <v>0</v>
      </c>
    </row>
    <row r="394" spans="26:27" ht="12.75">
      <c r="Z394" s="210" t="s">
        <v>447</v>
      </c>
      <c r="AA394" s="211">
        <f>B287</f>
        <v>66766129.279999994</v>
      </c>
    </row>
    <row r="395" spans="26:27" ht="12.75">
      <c r="Z395" s="210" t="s">
        <v>72</v>
      </c>
      <c r="AA395" s="212">
        <f>AA391-AA392-AA393-AA394</f>
        <v>18924968.014479376</v>
      </c>
    </row>
    <row r="408" spans="2:5" ht="12.75">
      <c r="B408" s="445" t="e">
        <f>B379/B26</f>
        <v>#REF!</v>
      </c>
      <c r="C408" s="445"/>
      <c r="D408" s="445"/>
      <c r="E408" s="445"/>
    </row>
    <row r="409" spans="2:5" ht="12.75">
      <c r="B409" s="445" t="e">
        <f>100%-B408</f>
        <v>#REF!</v>
      </c>
      <c r="C409" s="445"/>
      <c r="D409" s="445"/>
      <c r="E409" s="445"/>
    </row>
  </sheetData>
  <sheetProtection/>
  <mergeCells count="5">
    <mergeCell ref="Z372:AA372"/>
    <mergeCell ref="A4:A6"/>
    <mergeCell ref="Z379:AA379"/>
    <mergeCell ref="G4:G5"/>
    <mergeCell ref="B5:B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headerFooter alignWithMargins="0">
    <oddHeader>&amp;C&amp;"Arial,Negrita"&amp;12INSTITUTO DOMINICANO DE LAS TELECOMUNICACIONES
PRESUPUESTO 2018&amp;8
 &amp;12
&amp;10Anexo Resolución No. &amp;12
</oddHeader>
    <oddFooter>&amp;CPágina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99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37.8515625" style="0" bestFit="1" customWidth="1"/>
    <col min="2" max="2" width="15.421875" style="0" bestFit="1" customWidth="1"/>
    <col min="3" max="3" width="9.140625" style="43" customWidth="1"/>
    <col min="4" max="4" width="14.7109375" style="92" bestFit="1" customWidth="1"/>
    <col min="5" max="5" width="15.28125" style="70" bestFit="1" customWidth="1"/>
    <col min="6" max="6" width="13.8515625" style="0" bestFit="1" customWidth="1"/>
    <col min="7" max="8" width="9.140625" style="0" customWidth="1"/>
    <col min="9" max="9" width="16.57421875" style="0" bestFit="1" customWidth="1"/>
  </cols>
  <sheetData>
    <row r="4" spans="1:3" ht="18">
      <c r="A4" s="727" t="s">
        <v>88</v>
      </c>
      <c r="B4" s="727"/>
      <c r="C4" s="727"/>
    </row>
    <row r="5" spans="1:3" ht="18">
      <c r="A5" s="49"/>
      <c r="B5" s="49"/>
      <c r="C5" s="49"/>
    </row>
    <row r="6" spans="1:3" ht="18">
      <c r="A6" s="58"/>
      <c r="B6" s="49"/>
      <c r="C6" s="49"/>
    </row>
    <row r="7" spans="1:3" ht="12.75">
      <c r="A7" s="728" t="s">
        <v>90</v>
      </c>
      <c r="B7" s="491" t="s">
        <v>91</v>
      </c>
      <c r="C7" s="730" t="s">
        <v>71</v>
      </c>
    </row>
    <row r="8" spans="1:3" ht="12.75">
      <c r="A8" s="729"/>
      <c r="B8" s="492" t="s">
        <v>9</v>
      </c>
      <c r="C8" s="731"/>
    </row>
    <row r="9" spans="1:3" ht="12.75">
      <c r="A9" s="44"/>
      <c r="B9" s="44"/>
      <c r="C9" s="45"/>
    </row>
    <row r="10" spans="1:4" ht="12.75">
      <c r="A10" s="57" t="s">
        <v>86</v>
      </c>
      <c r="B10" s="52">
        <f>Resumen!B26</f>
        <v>2485960705.42</v>
      </c>
      <c r="C10" s="51"/>
      <c r="D10" s="197">
        <f>SUM(B12:B20)</f>
        <v>2400269608.12552</v>
      </c>
    </row>
    <row r="11" spans="1:3" ht="12.75">
      <c r="A11" s="57"/>
      <c r="B11" s="50"/>
      <c r="C11" s="51"/>
    </row>
    <row r="12" spans="1:4" ht="12.75">
      <c r="A12" s="290" t="s">
        <v>502</v>
      </c>
      <c r="B12" s="52">
        <f>Resumen!B30</f>
        <v>1171123635.344</v>
      </c>
      <c r="C12" s="51">
        <f>B12/B28</f>
        <v>0.4726071096753332</v>
      </c>
      <c r="D12" s="92">
        <f>B12/B28</f>
        <v>0.4726071096753332</v>
      </c>
    </row>
    <row r="13" spans="1:3" ht="12.75" hidden="1">
      <c r="A13" s="131"/>
      <c r="B13" s="50"/>
      <c r="C13" s="51"/>
    </row>
    <row r="14" spans="1:4" ht="12.75">
      <c r="A14" s="290" t="s">
        <v>505</v>
      </c>
      <c r="B14" s="52">
        <f>Resumen!B64</f>
        <v>443517966.73152</v>
      </c>
      <c r="C14" s="51">
        <f>B14/B28</f>
        <v>0.17898173858005564</v>
      </c>
      <c r="D14" s="92">
        <f>B14/B28</f>
        <v>0.17898173858005564</v>
      </c>
    </row>
    <row r="15" spans="1:3" ht="12.75" hidden="1">
      <c r="A15" s="131"/>
      <c r="B15" s="50"/>
      <c r="C15" s="51"/>
    </row>
    <row r="16" spans="1:4" ht="12.75">
      <c r="A16" s="131" t="s">
        <v>18</v>
      </c>
      <c r="B16" s="52">
        <f>Resumen!B183</f>
        <v>57615764.089999996</v>
      </c>
      <c r="C16" s="51">
        <f>B16/B28</f>
        <v>0.023250849796326124</v>
      </c>
      <c r="D16" s="92">
        <f>B16/B28</f>
        <v>0.023250849796326124</v>
      </c>
    </row>
    <row r="17" spans="1:3" ht="12.75" hidden="1">
      <c r="A17" s="131"/>
      <c r="B17" s="50"/>
      <c r="C17" s="51"/>
    </row>
    <row r="18" spans="1:4" ht="12.75">
      <c r="A18" s="290" t="s">
        <v>512</v>
      </c>
      <c r="B18" s="52">
        <f>Resumen!B234</f>
        <v>728012241.9600004</v>
      </c>
      <c r="C18" s="51">
        <f>B18/B28</f>
        <v>0.29378944382751826</v>
      </c>
      <c r="D18" s="92">
        <f>B18/B28</f>
        <v>0.29378944382751826</v>
      </c>
    </row>
    <row r="19" spans="1:3" ht="12.75" hidden="1">
      <c r="A19" s="57"/>
      <c r="B19" s="50"/>
      <c r="C19" s="51"/>
    </row>
    <row r="20" spans="1:4" ht="12.75">
      <c r="A20" s="57" t="s">
        <v>129</v>
      </c>
      <c r="B20" s="61">
        <f>Resumen!B255</f>
        <v>0</v>
      </c>
      <c r="C20" s="51">
        <f>B20/B28</f>
        <v>0</v>
      </c>
      <c r="D20" s="92">
        <f>B20/B28</f>
        <v>0</v>
      </c>
    </row>
    <row r="21" spans="1:3" ht="12.75">
      <c r="A21" s="57"/>
      <c r="B21" s="50"/>
      <c r="C21" s="51"/>
    </row>
    <row r="22" spans="1:5" ht="12.75">
      <c r="A22" s="57" t="s">
        <v>92</v>
      </c>
      <c r="B22" s="52">
        <f>SUM(B12:B20)</f>
        <v>2400269608.12552</v>
      </c>
      <c r="C22" s="51">
        <f>B22/B30</f>
        <v>35.95040829848629</v>
      </c>
      <c r="D22" s="92">
        <f>SUM(D12:D20)</f>
        <v>0.9686291418792332</v>
      </c>
      <c r="E22" s="43">
        <f>D22/B10</f>
        <v>3.8963976372087685E-10</v>
      </c>
    </row>
    <row r="23" spans="1:3" ht="12.75">
      <c r="A23" s="57"/>
      <c r="B23" s="50"/>
      <c r="C23" s="51"/>
    </row>
    <row r="24" spans="1:4" ht="12.75">
      <c r="A24" s="57" t="s">
        <v>93</v>
      </c>
      <c r="B24" s="52">
        <f>Resumen!B261</f>
        <v>77737200</v>
      </c>
      <c r="C24" s="51">
        <f>B24/B32</f>
        <v>0.030547794208804983</v>
      </c>
      <c r="D24" s="92">
        <f>B24/B28</f>
        <v>0.03137085812076684</v>
      </c>
    </row>
    <row r="25" spans="1:3" ht="12.75" hidden="1">
      <c r="A25" s="57"/>
      <c r="B25" s="52"/>
      <c r="C25" s="51"/>
    </row>
    <row r="26" spans="1:4" ht="12.75" hidden="1">
      <c r="A26" s="57" t="s">
        <v>206</v>
      </c>
      <c r="B26" s="52">
        <f>Resultado!N1116</f>
        <v>0</v>
      </c>
      <c r="C26" s="51">
        <f>B26/B12</f>
        <v>0</v>
      </c>
      <c r="D26" s="92">
        <f>B26/B28</f>
        <v>0</v>
      </c>
    </row>
    <row r="27" spans="1:3" ht="12.75" hidden="1">
      <c r="A27" s="57"/>
      <c r="B27" s="53"/>
      <c r="C27" s="54"/>
    </row>
    <row r="28" spans="1:7" ht="12.75">
      <c r="A28" s="57" t="s">
        <v>92</v>
      </c>
      <c r="B28" s="55">
        <f>B22+B24+B26</f>
        <v>2478006808.12552</v>
      </c>
      <c r="C28" s="54">
        <f>B28/B10</f>
        <v>0.9968004734438729</v>
      </c>
      <c r="D28" s="92">
        <f>SUM(D22:D26)</f>
        <v>1</v>
      </c>
      <c r="F28" s="42"/>
      <c r="G28" s="72">
        <f>F28/B10</f>
        <v>0</v>
      </c>
    </row>
    <row r="29" spans="1:3" ht="12.75" hidden="1">
      <c r="A29" s="57"/>
      <c r="B29" s="53"/>
      <c r="C29" s="54"/>
    </row>
    <row r="30" spans="1:3" ht="12.75">
      <c r="A30" s="57" t="s">
        <v>575</v>
      </c>
      <c r="B30" s="55">
        <f>Flujo!N142</f>
        <v>66766129.279999994</v>
      </c>
      <c r="C30" s="54">
        <f>B30/B10</f>
        <v>0.026857274587821747</v>
      </c>
    </row>
    <row r="31" spans="1:3" ht="12.75">
      <c r="A31" s="57"/>
      <c r="B31" s="53"/>
      <c r="C31" s="54"/>
    </row>
    <row r="32" spans="1:3" ht="12.75">
      <c r="A32" s="46" t="s">
        <v>89</v>
      </c>
      <c r="B32" s="56">
        <f>B28+B30</f>
        <v>2544772937.4055204</v>
      </c>
      <c r="C32" s="490">
        <f>B32/B10</f>
        <v>1.0236577480316946</v>
      </c>
    </row>
    <row r="33" ht="12.75" hidden="1"/>
    <row r="34" spans="1:3" ht="12.75">
      <c r="A34" s="11" t="s">
        <v>220</v>
      </c>
      <c r="B34" s="42">
        <f>B10-B32</f>
        <v>-58812231.98552036</v>
      </c>
      <c r="C34" s="43">
        <f>B34/B10</f>
        <v>-0.023657748031694695</v>
      </c>
    </row>
    <row r="36" spans="1:4" ht="12.75">
      <c r="A36" s="195" t="s">
        <v>11</v>
      </c>
      <c r="B36" s="2">
        <f>Resumen!B10</f>
        <v>1447762027.4499998</v>
      </c>
      <c r="C36" s="43">
        <f>B36/B45</f>
        <v>0.8106348718206452</v>
      </c>
      <c r="D36" s="94">
        <f>B32+B34</f>
        <v>2485960705.42</v>
      </c>
    </row>
    <row r="37" spans="1:3" ht="12.75">
      <c r="A37" s="195" t="s">
        <v>12</v>
      </c>
      <c r="B37" s="2">
        <f>Resumen!B15+Resumen!B16</f>
        <v>27873918.120000005</v>
      </c>
      <c r="C37" s="43">
        <f>B37/B45</f>
        <v>0.01560724042620722</v>
      </c>
    </row>
    <row r="38" spans="1:3" ht="12.75">
      <c r="A38" s="195" t="s">
        <v>73</v>
      </c>
      <c r="B38" s="2">
        <f>Resumen!B11</f>
        <v>302741612.97</v>
      </c>
      <c r="C38" s="43">
        <f>B38/B45</f>
        <v>0.16951191146860425</v>
      </c>
    </row>
    <row r="39" spans="1:3" ht="12.75" hidden="1">
      <c r="A39" s="195" t="s">
        <v>389</v>
      </c>
      <c r="B39" s="2">
        <f>Resumen!B17</f>
        <v>0</v>
      </c>
      <c r="C39" s="43">
        <f>B39/B45</f>
        <v>0</v>
      </c>
    </row>
    <row r="40" spans="1:4" ht="12.75">
      <c r="A40" s="195" t="s">
        <v>390</v>
      </c>
      <c r="B40" s="2">
        <f>Resumen!B18</f>
        <v>1200000</v>
      </c>
      <c r="C40" s="43">
        <f>B40/B45</f>
        <v>0.0006719072801613246</v>
      </c>
      <c r="D40" s="92">
        <f>SUM(B37:B43)</f>
        <v>338198677.89000005</v>
      </c>
    </row>
    <row r="41" spans="1:3" ht="12.75">
      <c r="A41" s="346" t="s">
        <v>672</v>
      </c>
      <c r="B41" s="2">
        <f>Resumen!B21</f>
        <v>6000000</v>
      </c>
      <c r="C41" s="43">
        <f>B41/B45</f>
        <v>0.003359536400806623</v>
      </c>
    </row>
    <row r="42" spans="1:2" ht="12.75" hidden="1">
      <c r="A42" s="214" t="s">
        <v>476</v>
      </c>
      <c r="B42" s="2">
        <f>Resumen!B22</f>
        <v>0</v>
      </c>
    </row>
    <row r="43" spans="1:3" ht="12.75">
      <c r="A43" s="195" t="s">
        <v>13</v>
      </c>
      <c r="B43" s="2">
        <f>Resumen!B20</f>
        <v>383146.8</v>
      </c>
      <c r="C43" s="43">
        <f>B43/B45</f>
        <v>0.00021453260357542916</v>
      </c>
    </row>
    <row r="44" ht="12.75" hidden="1">
      <c r="A44" s="195" t="s">
        <v>204</v>
      </c>
    </row>
    <row r="45" spans="2:3" ht="12.75">
      <c r="B45" s="2">
        <f>SUM(B36:B44)</f>
        <v>1785960705.3399997</v>
      </c>
      <c r="C45" s="43">
        <f>SUM(C36:C44)</f>
        <v>1</v>
      </c>
    </row>
    <row r="49" spans="1:2" ht="12.75">
      <c r="A49" s="196"/>
      <c r="B49" s="2"/>
    </row>
    <row r="50" spans="1:2" ht="12.75">
      <c r="A50" s="196"/>
      <c r="B50" s="2"/>
    </row>
    <row r="51" spans="1:2" ht="12.75">
      <c r="A51" s="196"/>
      <c r="B51" s="2"/>
    </row>
    <row r="52" spans="1:2" ht="12.75">
      <c r="A52" s="196"/>
      <c r="B52" s="2"/>
    </row>
    <row r="53" spans="1:2" ht="12.75">
      <c r="A53" s="196"/>
      <c r="B53" s="2"/>
    </row>
    <row r="57" spans="1:2" ht="12.75">
      <c r="A57" s="73"/>
      <c r="B57" s="42"/>
    </row>
    <row r="59" ht="12.75">
      <c r="B59" s="74"/>
    </row>
    <row r="61" ht="12.75">
      <c r="B61" s="42"/>
    </row>
    <row r="62" ht="12.75">
      <c r="B62" s="42"/>
    </row>
    <row r="63" ht="12.75">
      <c r="B63" s="2"/>
    </row>
    <row r="64" spans="2:5" ht="12.75">
      <c r="B64" s="2"/>
      <c r="E64" s="71"/>
    </row>
    <row r="65" spans="2:5" ht="12.75">
      <c r="B65" s="88"/>
      <c r="E65" s="71"/>
    </row>
    <row r="66" spans="2:5" ht="12.75">
      <c r="B66" s="2"/>
      <c r="E66" s="71"/>
    </row>
    <row r="67" spans="2:5" ht="12.75">
      <c r="B67" s="88"/>
      <c r="E67" s="43"/>
    </row>
    <row r="68" spans="1:2" ht="12.75">
      <c r="A68" s="22"/>
      <c r="B68" s="2"/>
    </row>
    <row r="69" spans="2:10" ht="12.75">
      <c r="B69" s="2"/>
      <c r="F69" s="103"/>
      <c r="G69" s="43"/>
      <c r="I69" s="74"/>
      <c r="J69" s="72" t="e">
        <f>I69/B65</f>
        <v>#DIV/0!</v>
      </c>
    </row>
    <row r="70" spans="2:10" ht="12.75">
      <c r="B70" s="2"/>
      <c r="F70" s="103"/>
      <c r="G70" s="43"/>
      <c r="I70" s="74"/>
      <c r="J70" s="72" t="e">
        <f>I70/B65</f>
        <v>#DIV/0!</v>
      </c>
    </row>
    <row r="72" ht="12.75">
      <c r="B72" s="2"/>
    </row>
    <row r="78" ht="12.75">
      <c r="A78" s="22"/>
    </row>
    <row r="79" ht="12.75">
      <c r="A79" s="22"/>
    </row>
    <row r="80" ht="12.75">
      <c r="A80" s="22"/>
    </row>
    <row r="94" ht="12.75">
      <c r="B94" s="10"/>
    </row>
    <row r="95" ht="12.75">
      <c r="B95" s="93"/>
    </row>
    <row r="119" spans="1:2" ht="12.75">
      <c r="A119" t="s">
        <v>228</v>
      </c>
      <c r="B119" s="10" t="e">
        <f>Resumen!#REF!</f>
        <v>#REF!</v>
      </c>
    </row>
    <row r="120" spans="1:2" ht="12.75">
      <c r="A120" t="s">
        <v>264</v>
      </c>
      <c r="B120" s="10">
        <f>Resumen!B26</f>
        <v>2485960705.42</v>
      </c>
    </row>
    <row r="123" spans="1:2" ht="12.75">
      <c r="A123" t="s">
        <v>229</v>
      </c>
      <c r="B123" s="10" t="e">
        <f>Resumen!#REF!</f>
        <v>#REF!</v>
      </c>
    </row>
    <row r="124" spans="1:2" ht="12.75">
      <c r="A124" t="s">
        <v>265</v>
      </c>
      <c r="B124" s="2">
        <f>Resumen!B270</f>
        <v>2478006808.1255207</v>
      </c>
    </row>
    <row r="129" spans="1:2" ht="12.75">
      <c r="A129" t="s">
        <v>264</v>
      </c>
      <c r="B129" s="10" t="e">
        <f>Resumen!#REF!</f>
        <v>#REF!</v>
      </c>
    </row>
    <row r="130" spans="1:2" ht="12.75">
      <c r="A130" t="s">
        <v>285</v>
      </c>
      <c r="B130" s="2">
        <f>Resumen!B26</f>
        <v>2485960705.42</v>
      </c>
    </row>
    <row r="133" spans="1:2" ht="12.75">
      <c r="A133" t="s">
        <v>288</v>
      </c>
      <c r="B133" s="2" t="e">
        <f>Resumen!#REF!</f>
        <v>#REF!</v>
      </c>
    </row>
    <row r="134" spans="1:2" ht="12.75">
      <c r="A134" t="s">
        <v>289</v>
      </c>
      <c r="B134" s="2">
        <f>Resumen!B270</f>
        <v>2478006808.1255207</v>
      </c>
    </row>
    <row r="136" spans="1:2" ht="12.75">
      <c r="A136" t="s">
        <v>286</v>
      </c>
      <c r="B136" s="10" t="e">
        <f>Resumen!#REF!</f>
        <v>#REF!</v>
      </c>
    </row>
    <row r="137" spans="1:2" ht="12.75">
      <c r="A137" t="s">
        <v>287</v>
      </c>
      <c r="B137" s="2">
        <f>Resumen!B10</f>
        <v>1447762027.4499998</v>
      </c>
    </row>
    <row r="142" ht="12.75">
      <c r="B142" s="72" t="e">
        <f>B123/B124</f>
        <v>#REF!</v>
      </c>
    </row>
    <row r="151" ht="12.75">
      <c r="B151" s="2">
        <f>Resumen!B26</f>
        <v>2485960705.42</v>
      </c>
    </row>
    <row r="152" ht="12.75">
      <c r="A152" s="22" t="s">
        <v>294</v>
      </c>
    </row>
    <row r="153" spans="1:3" ht="12.75">
      <c r="A153" s="22" t="s">
        <v>216</v>
      </c>
      <c r="B153" s="2">
        <f>Resumen!B371</f>
        <v>2467035737.405521</v>
      </c>
      <c r="C153" s="43">
        <f>B153/B151</f>
        <v>0.9923872618045739</v>
      </c>
    </row>
    <row r="154" spans="1:3" ht="12.75">
      <c r="A154" s="22" t="s">
        <v>67</v>
      </c>
      <c r="B154" s="2">
        <f>Resumen!B372</f>
        <v>18924968.01447916</v>
      </c>
      <c r="C154" s="43">
        <f>B154/B151</f>
        <v>0.007612738195426066</v>
      </c>
    </row>
    <row r="183" spans="1:3" ht="12.75">
      <c r="A183" s="57" t="s">
        <v>86</v>
      </c>
      <c r="B183" s="149">
        <f>Resumen!B26</f>
        <v>2485960705.42</v>
      </c>
      <c r="C183" s="51"/>
    </row>
    <row r="184" spans="1:3" ht="12.75">
      <c r="A184" s="57"/>
      <c r="B184" s="50"/>
      <c r="C184" s="51"/>
    </row>
    <row r="185" spans="1:3" ht="12.75">
      <c r="A185" s="57" t="s">
        <v>15</v>
      </c>
      <c r="B185" s="52">
        <f>Resumen!B30</f>
        <v>1171123635.344</v>
      </c>
      <c r="C185" s="51">
        <f>B185/B195</f>
        <v>0.4726071096753332</v>
      </c>
    </row>
    <row r="186" spans="1:3" ht="12.75">
      <c r="A186" s="57" t="s">
        <v>17</v>
      </c>
      <c r="B186" s="52">
        <f>Resumen!B64</f>
        <v>443517966.73152</v>
      </c>
      <c r="C186" s="51">
        <f>B186/B195</f>
        <v>0.17898173858005564</v>
      </c>
    </row>
    <row r="187" spans="1:3" ht="12.75">
      <c r="A187" s="57" t="s">
        <v>18</v>
      </c>
      <c r="B187" s="52">
        <f>Resumen!B183</f>
        <v>57615764.089999996</v>
      </c>
      <c r="C187" s="51">
        <f>B187/B195</f>
        <v>0.023250849796326124</v>
      </c>
    </row>
    <row r="188" spans="1:3" ht="12.75">
      <c r="A188" s="57" t="s">
        <v>19</v>
      </c>
      <c r="B188" s="52">
        <f>Resumen!B234</f>
        <v>728012241.9600004</v>
      </c>
      <c r="C188" s="51">
        <f>B188/B195</f>
        <v>0.29378944382751826</v>
      </c>
    </row>
    <row r="189" spans="1:3" ht="12.75">
      <c r="A189" s="57" t="s">
        <v>129</v>
      </c>
      <c r="B189" s="61">
        <f>Resumen!B255</f>
        <v>0</v>
      </c>
      <c r="C189" s="51">
        <f>B189/B195</f>
        <v>0</v>
      </c>
    </row>
    <row r="190" spans="1:3" ht="12.75">
      <c r="A190" s="57" t="s">
        <v>92</v>
      </c>
      <c r="B190" s="52">
        <f>SUM(B185:B189)</f>
        <v>2400269608.12552</v>
      </c>
      <c r="C190" s="51">
        <f>B190/B183</f>
        <v>0.9655299872167519</v>
      </c>
    </row>
    <row r="191" spans="1:3" ht="12.75">
      <c r="A191" s="57"/>
      <c r="B191" s="50"/>
      <c r="C191" s="51"/>
    </row>
    <row r="192" spans="1:3" ht="12.75">
      <c r="A192" s="57" t="s">
        <v>93</v>
      </c>
      <c r="B192" s="52">
        <f>Resumen!B261</f>
        <v>77737200</v>
      </c>
      <c r="C192" s="51">
        <f>B192/B195</f>
        <v>0.03137085812076684</v>
      </c>
    </row>
    <row r="193" spans="1:3" ht="12.75">
      <c r="A193" s="57"/>
      <c r="B193" s="52"/>
      <c r="C193" s="51"/>
    </row>
    <row r="194" spans="1:3" ht="12.75">
      <c r="A194" s="57"/>
      <c r="B194" s="53"/>
      <c r="C194" s="54"/>
    </row>
    <row r="195" spans="1:3" ht="12.75">
      <c r="A195" s="57" t="s">
        <v>92</v>
      </c>
      <c r="B195" s="55">
        <f>B190+B192</f>
        <v>2478006808.12552</v>
      </c>
      <c r="C195" s="54">
        <f>B195/B183</f>
        <v>0.9968004734438729</v>
      </c>
    </row>
    <row r="196" spans="1:3" ht="12.75">
      <c r="A196" s="57"/>
      <c r="B196" s="53"/>
      <c r="C196" s="54"/>
    </row>
    <row r="197" spans="1:3" ht="12.75">
      <c r="A197" s="57" t="s">
        <v>87</v>
      </c>
      <c r="B197" s="55">
        <f>Resumen!B287</f>
        <v>66766129.279999994</v>
      </c>
      <c r="C197" s="54">
        <f>B197/B183</f>
        <v>0.026857274587821747</v>
      </c>
    </row>
    <row r="198" spans="1:3" ht="12.75">
      <c r="A198" s="57"/>
      <c r="B198" s="53"/>
      <c r="C198" s="54"/>
    </row>
    <row r="199" spans="1:3" ht="12.75">
      <c r="A199" s="46" t="s">
        <v>89</v>
      </c>
      <c r="B199" s="56">
        <f>B195+B197</f>
        <v>2544772937.4055204</v>
      </c>
      <c r="C199" s="54">
        <f>B199/B183</f>
        <v>1.0236577480316946</v>
      </c>
    </row>
  </sheetData>
  <sheetProtection/>
  <mergeCells count="3">
    <mergeCell ref="A4:C4"/>
    <mergeCell ref="A7:A8"/>
    <mergeCell ref="C7:C8"/>
  </mergeCells>
  <printOptions/>
  <pageMargins left="1.59" right="0.75" top="0.57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L85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1.421875" style="0" customWidth="1"/>
    <col min="2" max="2" width="23.421875" style="0" customWidth="1"/>
    <col min="3" max="3" width="24.8515625" style="0" customWidth="1"/>
    <col min="4" max="4" width="11.421875" style="0" customWidth="1"/>
    <col min="5" max="5" width="30.57421875" style="0" bestFit="1" customWidth="1"/>
    <col min="6" max="6" width="17.8515625" style="0" customWidth="1"/>
    <col min="7" max="7" width="15.28125" style="0" customWidth="1"/>
    <col min="8" max="8" width="17.00390625" style="0" customWidth="1"/>
    <col min="9" max="9" width="11.421875" style="0" customWidth="1"/>
    <col min="10" max="10" width="29.7109375" style="0" customWidth="1"/>
    <col min="11" max="11" width="22.140625" style="0" customWidth="1"/>
    <col min="12" max="12" width="11.7109375" style="0" bestFit="1" customWidth="1"/>
  </cols>
  <sheetData>
    <row r="5" spans="2:11" ht="45" customHeight="1">
      <c r="B5" s="732" t="s">
        <v>450</v>
      </c>
      <c r="C5" s="732"/>
      <c r="E5" s="732" t="s">
        <v>450</v>
      </c>
      <c r="F5" s="732"/>
      <c r="G5" s="732"/>
      <c r="H5" s="732"/>
      <c r="J5" s="732" t="s">
        <v>450</v>
      </c>
      <c r="K5" s="732"/>
    </row>
    <row r="6" spans="2:11" ht="15.75">
      <c r="B6" s="244"/>
      <c r="C6" s="244"/>
      <c r="E6" s="738" t="s">
        <v>654</v>
      </c>
      <c r="F6" s="738"/>
      <c r="G6" s="738"/>
      <c r="H6" s="738"/>
      <c r="J6" s="735"/>
      <c r="K6" s="735"/>
    </row>
    <row r="7" spans="2:3" ht="12.75" hidden="1">
      <c r="B7" s="122"/>
      <c r="C7" s="122"/>
    </row>
    <row r="8" spans="2:11" ht="25.5" customHeight="1">
      <c r="B8" s="245" t="str">
        <f>Resumen!Z390</f>
        <v>Concepto</v>
      </c>
      <c r="C8" s="245" t="str">
        <f>Resumen!AA390</f>
        <v>Valor RD$</v>
      </c>
      <c r="E8" s="245" t="s">
        <v>397</v>
      </c>
      <c r="F8" s="282" t="s">
        <v>653</v>
      </c>
      <c r="G8" s="277" t="s">
        <v>651</v>
      </c>
      <c r="H8" s="282" t="s">
        <v>652</v>
      </c>
      <c r="J8" s="245" t="s">
        <v>397</v>
      </c>
      <c r="K8" s="245" t="s">
        <v>407</v>
      </c>
    </row>
    <row r="9" spans="2:11" ht="21" customHeight="1">
      <c r="B9" s="210" t="str">
        <f>Resumen!Z391</f>
        <v>Ingresos Corrientes</v>
      </c>
      <c r="C9" s="211">
        <f>Resumen!B26</f>
        <v>2485960705.42</v>
      </c>
      <c r="E9" s="210" t="s">
        <v>291</v>
      </c>
      <c r="F9" s="211">
        <f>Resumen!B26</f>
        <v>2485960705.42</v>
      </c>
      <c r="G9" s="281">
        <f>Resumen!D26</f>
        <v>1848319816.7357144</v>
      </c>
      <c r="H9" s="281">
        <f>Resumen!C26</f>
        <v>2006942168.08</v>
      </c>
      <c r="J9" s="279" t="s">
        <v>291</v>
      </c>
      <c r="K9" s="211">
        <f>F9</f>
        <v>2485960705.42</v>
      </c>
    </row>
    <row r="10" spans="2:11" ht="21" customHeight="1">
      <c r="B10" s="210" t="str">
        <f>Resumen!Z392</f>
        <v>Gastos Corrientes</v>
      </c>
      <c r="C10" s="211">
        <f>Resultado!N1100</f>
        <v>2400269608.1255207</v>
      </c>
      <c r="E10" s="210" t="s">
        <v>292</v>
      </c>
      <c r="F10" s="211">
        <f>Resultado!N1100</f>
        <v>2400269608.1255207</v>
      </c>
      <c r="G10" s="281">
        <f>Resumen!D259</f>
        <v>1570693321.9485714</v>
      </c>
      <c r="H10" s="281">
        <f>Resumen!C259</f>
        <v>1404271543.08</v>
      </c>
      <c r="J10" s="279" t="s">
        <v>292</v>
      </c>
      <c r="K10" s="211">
        <f>F10</f>
        <v>2400269608.1255207</v>
      </c>
    </row>
    <row r="11" spans="2:11" ht="21" customHeight="1" hidden="1">
      <c r="B11" s="210" t="str">
        <f>Resumen!Z393</f>
        <v>Amortización Deuda</v>
      </c>
      <c r="C11" s="211">
        <f>Resumen!B318</f>
        <v>0</v>
      </c>
      <c r="E11" s="210" t="s">
        <v>448</v>
      </c>
      <c r="F11" s="211">
        <f>Resumen!B318</f>
        <v>0</v>
      </c>
      <c r="G11" s="281">
        <f>Resumen!D318</f>
        <v>0</v>
      </c>
      <c r="H11" s="281">
        <f>Resumen!E318</f>
        <v>30184995.999999996</v>
      </c>
      <c r="J11" s="280" t="s">
        <v>72</v>
      </c>
      <c r="K11" s="247">
        <f>K9-K10</f>
        <v>85691097.29447937</v>
      </c>
    </row>
    <row r="12" spans="2:8" ht="21" customHeight="1">
      <c r="B12" s="210" t="str">
        <f>Resumen!Z394</f>
        <v>Inversión Activos</v>
      </c>
      <c r="C12" s="211">
        <f>Resumen!B287</f>
        <v>66766129.279999994</v>
      </c>
      <c r="E12" s="210" t="s">
        <v>447</v>
      </c>
      <c r="F12" s="211">
        <f>Resumen!B287</f>
        <v>66766129.279999994</v>
      </c>
      <c r="G12" s="281">
        <f>Resumen!D287</f>
        <v>34784557.56</v>
      </c>
      <c r="H12" s="281">
        <f>Resumen!E287</f>
        <v>91386126.40000002</v>
      </c>
    </row>
    <row r="13" spans="2:8" ht="21" customHeight="1">
      <c r="B13" s="246" t="str">
        <f>Resumen!Z395</f>
        <v>Diferencia</v>
      </c>
      <c r="C13" s="247">
        <f>C9-C10-C12</f>
        <v>18924968.014479376</v>
      </c>
      <c r="E13" s="246" t="s">
        <v>72</v>
      </c>
      <c r="F13" s="247">
        <f>F9-F10-F11-F12</f>
        <v>18924968.014479376</v>
      </c>
      <c r="G13" s="276">
        <f>G9-G10-G11-G12</f>
        <v>242841937.227143</v>
      </c>
      <c r="H13" s="276">
        <f>H9-H10-H11-H12</f>
        <v>481099502.59999996</v>
      </c>
    </row>
    <row r="15" ht="12.75" hidden="1"/>
    <row r="16" ht="12.75" hidden="1"/>
    <row r="17" ht="12.75" hidden="1"/>
    <row r="18" ht="12.75" hidden="1"/>
    <row r="19" spans="2:11" ht="15.75" customHeight="1">
      <c r="B19" s="732" t="s">
        <v>450</v>
      </c>
      <c r="C19" s="732"/>
      <c r="J19" s="732" t="s">
        <v>450</v>
      </c>
      <c r="K19" s="732"/>
    </row>
    <row r="20" spans="2:11" ht="15.75">
      <c r="B20" s="721" t="s">
        <v>481</v>
      </c>
      <c r="C20" s="721"/>
      <c r="J20" s="721" t="s">
        <v>481</v>
      </c>
      <c r="K20" s="721"/>
    </row>
    <row r="21" spans="2:11" ht="12.75">
      <c r="B21" s="122"/>
      <c r="C21" s="122"/>
      <c r="J21" s="737" t="s">
        <v>482</v>
      </c>
      <c r="K21" s="737"/>
    </row>
    <row r="22" spans="2:11" ht="27" customHeight="1">
      <c r="B22" s="275" t="s">
        <v>397</v>
      </c>
      <c r="C22" s="275" t="s">
        <v>407</v>
      </c>
      <c r="J22" s="245" t="s">
        <v>397</v>
      </c>
      <c r="K22" s="275" t="s">
        <v>407</v>
      </c>
    </row>
    <row r="23" spans="2:11" ht="20.25" customHeight="1">
      <c r="B23" s="210" t="s">
        <v>291</v>
      </c>
      <c r="C23" s="212">
        <f>C9</f>
        <v>2485960705.42</v>
      </c>
      <c r="J23" s="340" t="s">
        <v>291</v>
      </c>
      <c r="K23" s="338">
        <f>Resumen!B26</f>
        <v>2485960705.42</v>
      </c>
    </row>
    <row r="24" spans="2:12" ht="20.25" customHeight="1">
      <c r="B24" s="289" t="s">
        <v>292</v>
      </c>
      <c r="C24" s="211">
        <f>Resultado!N1100</f>
        <v>2400269608.1255207</v>
      </c>
      <c r="J24" s="340" t="s">
        <v>292</v>
      </c>
      <c r="K24" s="338">
        <f>C24</f>
        <v>2400269608.1255207</v>
      </c>
      <c r="L24" s="2">
        <f>K23-K24</f>
        <v>85691097.29447937</v>
      </c>
    </row>
    <row r="25" spans="2:11" ht="20.25" customHeight="1" hidden="1">
      <c r="B25" s="289" t="s">
        <v>448</v>
      </c>
      <c r="C25" s="211">
        <f>C11</f>
        <v>0</v>
      </c>
      <c r="J25" s="340" t="s">
        <v>448</v>
      </c>
      <c r="K25" s="338">
        <f>C25</f>
        <v>0</v>
      </c>
    </row>
    <row r="26" spans="2:11" ht="20.25" customHeight="1">
      <c r="B26" s="289" t="s">
        <v>447</v>
      </c>
      <c r="C26" s="211">
        <f>Flujo!N142</f>
        <v>66766129.279999994</v>
      </c>
      <c r="J26" s="340" t="s">
        <v>447</v>
      </c>
      <c r="K26" s="338">
        <f>C26</f>
        <v>66766129.279999994</v>
      </c>
    </row>
    <row r="27" spans="2:11" ht="20.25" customHeight="1" hidden="1">
      <c r="B27" s="289" t="s">
        <v>479</v>
      </c>
      <c r="C27" s="211">
        <f>Resumen!B321</f>
        <v>0</v>
      </c>
      <c r="J27" s="340" t="s">
        <v>479</v>
      </c>
      <c r="K27" s="338">
        <f>C27</f>
        <v>0</v>
      </c>
    </row>
    <row r="28" spans="2:11" ht="20.25" customHeight="1">
      <c r="B28" s="289" t="s">
        <v>391</v>
      </c>
      <c r="C28" s="211">
        <f>Flujo!N149</f>
        <v>37055516.019999996</v>
      </c>
      <c r="J28" s="340" t="s">
        <v>480</v>
      </c>
      <c r="K28" s="338">
        <f>C28</f>
        <v>37055516.019999996</v>
      </c>
    </row>
    <row r="29" spans="2:11" ht="20.25" customHeight="1">
      <c r="B29" s="210" t="s">
        <v>501</v>
      </c>
      <c r="C29" s="212">
        <f>SUM(C24:C28)</f>
        <v>2504091253.425521</v>
      </c>
      <c r="J29" s="340" t="s">
        <v>501</v>
      </c>
      <c r="K29" s="338">
        <f>SUM(K24:K28)</f>
        <v>2504091253.425521</v>
      </c>
    </row>
    <row r="30" spans="2:12" ht="20.25" customHeight="1">
      <c r="B30" s="246" t="s">
        <v>72</v>
      </c>
      <c r="C30" s="276">
        <f>C23-C24-C25-C26-C27-C28</f>
        <v>-18130548.00552062</v>
      </c>
      <c r="J30" s="341" t="s">
        <v>72</v>
      </c>
      <c r="K30" s="339">
        <f>K23-K24-K25-K26-K27-K28</f>
        <v>-18130548.00552062</v>
      </c>
      <c r="L30" s="2"/>
    </row>
    <row r="32" ht="12.75" hidden="1"/>
    <row r="33" ht="12.75" hidden="1"/>
    <row r="34" spans="2:3" ht="47.25" customHeight="1">
      <c r="B34" s="733" t="s">
        <v>663</v>
      </c>
      <c r="C34" s="733"/>
    </row>
    <row r="35" spans="2:3" ht="12.75">
      <c r="B35" s="122"/>
      <c r="C35" s="122"/>
    </row>
    <row r="36" spans="2:3" ht="19.5" customHeight="1">
      <c r="B36" s="275" t="str">
        <f>B22</f>
        <v>Concepto</v>
      </c>
      <c r="C36" s="275" t="str">
        <f>C22</f>
        <v>Valor RD$</v>
      </c>
    </row>
    <row r="37" spans="2:3" s="120" customFormat="1" ht="20.25" customHeight="1">
      <c r="B37" s="342" t="s">
        <v>658</v>
      </c>
      <c r="C37" s="343">
        <f>Resumen!B7</f>
        <v>159780598.96</v>
      </c>
    </row>
    <row r="38" spans="2:3" ht="20.25" customHeight="1">
      <c r="B38" s="210" t="str">
        <f>B23</f>
        <v>Ingresos Corrientes</v>
      </c>
      <c r="C38" s="212">
        <f>C23</f>
        <v>2485960705.42</v>
      </c>
    </row>
    <row r="39" spans="2:3" ht="20.25" customHeight="1">
      <c r="B39" s="210" t="s">
        <v>659</v>
      </c>
      <c r="C39" s="212">
        <f>C37+C38</f>
        <v>2645741304.38</v>
      </c>
    </row>
    <row r="40" spans="2:3" ht="20.25" customHeight="1">
      <c r="B40" s="289" t="str">
        <f aca="true" t="shared" si="0" ref="B40:C45">B24</f>
        <v>Gastos Corrientes</v>
      </c>
      <c r="C40" s="211">
        <f t="shared" si="0"/>
        <v>2400269608.1255207</v>
      </c>
    </row>
    <row r="41" spans="2:3" ht="20.25" customHeight="1" hidden="1">
      <c r="B41" s="289" t="str">
        <f t="shared" si="0"/>
        <v>Amortización Deuda</v>
      </c>
      <c r="C41" s="211">
        <f t="shared" si="0"/>
        <v>0</v>
      </c>
    </row>
    <row r="42" spans="2:3" ht="20.25" customHeight="1">
      <c r="B42" s="289" t="str">
        <f t="shared" si="0"/>
        <v>Inversión Activos</v>
      </c>
      <c r="C42" s="211">
        <f t="shared" si="0"/>
        <v>66766129.279999994</v>
      </c>
    </row>
    <row r="43" spans="2:3" ht="20.25" customHeight="1" hidden="1">
      <c r="B43" s="289" t="str">
        <f t="shared" si="0"/>
        <v>Cuenta por pagar FDT</v>
      </c>
      <c r="C43" s="211">
        <f t="shared" si="0"/>
        <v>0</v>
      </c>
    </row>
    <row r="44" spans="2:3" ht="20.25" customHeight="1">
      <c r="B44" s="289" t="str">
        <f t="shared" si="0"/>
        <v>Proyectos FDT</v>
      </c>
      <c r="C44" s="211">
        <f t="shared" si="0"/>
        <v>37055516.019999996</v>
      </c>
    </row>
    <row r="45" spans="2:3" ht="20.25" customHeight="1">
      <c r="B45" s="210" t="str">
        <f t="shared" si="0"/>
        <v>Total Salida Efectivo</v>
      </c>
      <c r="C45" s="212">
        <f t="shared" si="0"/>
        <v>2504091253.425521</v>
      </c>
    </row>
    <row r="46" spans="2:3" ht="20.25" customHeight="1">
      <c r="B46" s="246" t="str">
        <f>B30</f>
        <v>Diferencia</v>
      </c>
      <c r="C46" s="276">
        <f>C39-C45</f>
        <v>141650050.95447922</v>
      </c>
    </row>
    <row r="58" spans="5:8" ht="15.75">
      <c r="E58" s="736" t="s">
        <v>497</v>
      </c>
      <c r="F58" s="736"/>
      <c r="G58" s="736"/>
      <c r="H58" s="736"/>
    </row>
    <row r="61" spans="5:8" ht="12.75">
      <c r="E61" s="734" t="s">
        <v>397</v>
      </c>
      <c r="F61" s="273" t="s">
        <v>269</v>
      </c>
      <c r="G61" s="273" t="s">
        <v>163</v>
      </c>
      <c r="H61" s="273" t="s">
        <v>269</v>
      </c>
    </row>
    <row r="62" spans="5:8" ht="12.75">
      <c r="E62" s="734"/>
      <c r="F62" s="274">
        <v>2014</v>
      </c>
      <c r="G62" s="274">
        <v>2013</v>
      </c>
      <c r="H62" s="274">
        <v>2013</v>
      </c>
    </row>
    <row r="63" spans="2:8" ht="15.75">
      <c r="B63" s="732" t="str">
        <f>B19</f>
        <v>Diferencia Ingresos Corrientes menos Gastos Corrientes e Inversión </v>
      </c>
      <c r="C63" s="732"/>
      <c r="E63" s="286"/>
      <c r="F63" s="287"/>
      <c r="G63" s="287"/>
      <c r="H63" s="287"/>
    </row>
    <row r="64" spans="2:8" ht="15.75">
      <c r="B64" s="721" t="s">
        <v>662</v>
      </c>
      <c r="C64" s="721"/>
      <c r="E64" s="286" t="s">
        <v>499</v>
      </c>
      <c r="F64" s="288">
        <f>F9</f>
        <v>2485960705.42</v>
      </c>
      <c r="G64" s="288">
        <f>G9</f>
        <v>1848319816.7357144</v>
      </c>
      <c r="H64" s="288">
        <f>H9</f>
        <v>2006942168.08</v>
      </c>
    </row>
    <row r="65" spans="2:8" ht="18.75" customHeight="1">
      <c r="B65" s="122"/>
      <c r="C65" s="122"/>
      <c r="E65" s="278" t="s">
        <v>69</v>
      </c>
      <c r="F65" s="108"/>
      <c r="G65" s="108"/>
      <c r="H65" s="108"/>
    </row>
    <row r="66" spans="2:9" ht="12.75">
      <c r="B66" s="275" t="str">
        <f aca="true" t="shared" si="1" ref="B66:C71">B22</f>
        <v>Concepto</v>
      </c>
      <c r="C66" s="275" t="str">
        <f t="shared" si="1"/>
        <v>Valor RD$</v>
      </c>
      <c r="E66" s="95" t="s">
        <v>226</v>
      </c>
      <c r="F66" s="25">
        <f>Resumen!B32</f>
        <v>709500000.48</v>
      </c>
      <c r="G66" s="25">
        <f>Resumen!D32</f>
        <v>657449467.8</v>
      </c>
      <c r="H66" s="25">
        <f>Resumen!E32</f>
        <v>409388928.24</v>
      </c>
      <c r="I66" s="72">
        <f>F66/F9</f>
        <v>0.28540274145649897</v>
      </c>
    </row>
    <row r="67" spans="2:9" ht="12.75">
      <c r="B67" s="210" t="str">
        <f t="shared" si="1"/>
        <v>Ingresos Corrientes</v>
      </c>
      <c r="C67" s="211">
        <f t="shared" si="1"/>
        <v>2485960705.42</v>
      </c>
      <c r="E67" s="271" t="s">
        <v>484</v>
      </c>
      <c r="F67" s="25">
        <f>Resumen!B43</f>
        <v>1800000</v>
      </c>
      <c r="G67" s="25">
        <f>Resumen!D43</f>
        <v>1538711.04</v>
      </c>
      <c r="H67" s="25">
        <f>Resumen!E43</f>
        <v>1541340</v>
      </c>
      <c r="I67" s="72">
        <f>F67/F9</f>
        <v>0.0007240661511968236</v>
      </c>
    </row>
    <row r="68" spans="2:9" ht="12.75">
      <c r="B68" s="289" t="str">
        <f t="shared" si="1"/>
        <v>Gastos Corrientes</v>
      </c>
      <c r="C68" s="211">
        <f t="shared" si="1"/>
        <v>2400269608.1255207</v>
      </c>
      <c r="E68" s="271" t="s">
        <v>485</v>
      </c>
      <c r="F68" s="25">
        <f>Resumen!B44</f>
        <v>0</v>
      </c>
      <c r="G68" s="25">
        <f>Resumen!D44</f>
        <v>0</v>
      </c>
      <c r="H68" s="25">
        <f>Resumen!E44</f>
        <v>649999.9200000003</v>
      </c>
      <c r="I68" s="72">
        <f>F68/F9</f>
        <v>0</v>
      </c>
    </row>
    <row r="69" spans="2:9" ht="12.75">
      <c r="B69" s="289" t="str">
        <f t="shared" si="1"/>
        <v>Amortización Deuda</v>
      </c>
      <c r="C69" s="211">
        <f t="shared" si="1"/>
        <v>0</v>
      </c>
      <c r="E69" s="214" t="s">
        <v>498</v>
      </c>
      <c r="F69" s="25">
        <f>Resumen!B37</f>
        <v>43020000</v>
      </c>
      <c r="G69" s="25" t="e">
        <f>Resumen!#REF!</f>
        <v>#REF!</v>
      </c>
      <c r="H69" s="25" t="e">
        <f>Resumen!#REF!</f>
        <v>#REF!</v>
      </c>
      <c r="I69" s="72"/>
    </row>
    <row r="70" spans="2:9" ht="12.75">
      <c r="B70" s="289" t="str">
        <f t="shared" si="1"/>
        <v>Inversión Activos</v>
      </c>
      <c r="C70" s="211">
        <f t="shared" si="1"/>
        <v>66766129.279999994</v>
      </c>
      <c r="E70" s="271" t="s">
        <v>486</v>
      </c>
      <c r="F70" s="25">
        <f>Resumen!B39</f>
        <v>70950000.048</v>
      </c>
      <c r="G70" s="25">
        <f>Resumen!D39</f>
        <v>61044871.90285714</v>
      </c>
      <c r="H70" s="25">
        <f>Resumen!E39</f>
        <v>40928530.524</v>
      </c>
      <c r="I70" s="72">
        <f>F70/F9</f>
        <v>0.028540274145649892</v>
      </c>
    </row>
    <row r="71" spans="2:9" ht="12.75">
      <c r="B71" s="289" t="str">
        <f t="shared" si="1"/>
        <v>Cuenta por pagar FDT</v>
      </c>
      <c r="C71" s="211">
        <f t="shared" si="1"/>
        <v>0</v>
      </c>
      <c r="E71" s="271" t="s">
        <v>218</v>
      </c>
      <c r="F71" s="25">
        <f>Resumen!B40</f>
        <v>42175013.03999999</v>
      </c>
      <c r="G71" s="25">
        <f>Resumen!D40</f>
        <v>17518120.251428574</v>
      </c>
      <c r="H71" s="25">
        <f>Resumen!E40</f>
        <v>25475066.099999998</v>
      </c>
      <c r="I71" s="72">
        <f>F71/F9</f>
        <v>0.016965277426971466</v>
      </c>
    </row>
    <row r="72" spans="2:9" ht="12.75">
      <c r="B72" s="210" t="str">
        <f>B29</f>
        <v>Total Salida Efectivo</v>
      </c>
      <c r="C72" s="212">
        <f>SUM(C68:C71)</f>
        <v>2467035737.405521</v>
      </c>
      <c r="E72" s="271" t="s">
        <v>452</v>
      </c>
      <c r="F72" s="25">
        <f>Resumen!B41</f>
        <v>21285000.96</v>
      </c>
      <c r="G72" s="25">
        <f>Resumen!D41</f>
        <v>25418107.799999997</v>
      </c>
      <c r="H72" s="25">
        <f>Resumen!E41</f>
        <v>8878845.606</v>
      </c>
      <c r="I72" s="72">
        <f>F72/F9</f>
        <v>0.008562082624071054</v>
      </c>
    </row>
    <row r="73" spans="2:9" ht="12.75">
      <c r="B73" s="246" t="str">
        <f>B30</f>
        <v>Diferencia</v>
      </c>
      <c r="C73" s="276">
        <f>C67-C72</f>
        <v>18924968.01447916</v>
      </c>
      <c r="E73" s="271" t="s">
        <v>487</v>
      </c>
      <c r="F73" s="25">
        <f>Resumen!B57</f>
        <v>23650000.016000003</v>
      </c>
      <c r="G73" s="25">
        <f>Resumen!D57</f>
        <v>22334711.66</v>
      </c>
      <c r="H73" s="25">
        <f>Resumen!E55</f>
        <v>9000000</v>
      </c>
      <c r="I73" s="72">
        <f>F73/F9</f>
        <v>0.009513424715216632</v>
      </c>
    </row>
    <row r="74" spans="5:9" ht="12.75">
      <c r="E74" s="271" t="s">
        <v>488</v>
      </c>
      <c r="F74" s="25">
        <f>Resumen!B56</f>
        <v>58002083.08000003</v>
      </c>
      <c r="G74" s="25">
        <f>Resumen!D56</f>
        <v>45300396</v>
      </c>
      <c r="H74" s="25">
        <f>Resumen!E56</f>
        <v>34115744.01999999</v>
      </c>
      <c r="I74" s="72">
        <f>F74/F9</f>
        <v>0.023331858365074457</v>
      </c>
    </row>
    <row r="75" spans="5:9" ht="12.75">
      <c r="E75" s="271" t="s">
        <v>489</v>
      </c>
      <c r="F75" s="25">
        <f>Resumen!B58</f>
        <v>0</v>
      </c>
      <c r="G75" s="25">
        <f>Resumen!D58</f>
        <v>0</v>
      </c>
      <c r="H75" s="108">
        <v>0</v>
      </c>
      <c r="I75" s="72">
        <f>F75/F9</f>
        <v>0</v>
      </c>
    </row>
    <row r="76" spans="5:9" ht="12.75">
      <c r="E76" s="271" t="s">
        <v>490</v>
      </c>
      <c r="F76" s="25">
        <f>Resumen!B60</f>
        <v>0</v>
      </c>
      <c r="G76" s="272">
        <f>Resumen!D60</f>
        <v>0</v>
      </c>
      <c r="H76" s="108">
        <v>0</v>
      </c>
      <c r="I76" s="72">
        <f>F76/F9</f>
        <v>0</v>
      </c>
    </row>
    <row r="77" spans="5:9" ht="12.75">
      <c r="E77" s="271" t="s">
        <v>491</v>
      </c>
      <c r="F77" s="25">
        <f>Resumen!B95</f>
        <v>5500000.079999999</v>
      </c>
      <c r="G77" s="25">
        <f>Resumen!D95</f>
        <v>5194333.645714286</v>
      </c>
      <c r="H77" s="25">
        <f>Resumen!E95</f>
        <v>3373692.9600000004</v>
      </c>
      <c r="I77" s="72">
        <f>F77/F9</f>
        <v>0.002212424383059901</v>
      </c>
    </row>
    <row r="78" spans="5:9" ht="12.75">
      <c r="E78" s="271" t="s">
        <v>492</v>
      </c>
      <c r="F78" s="25">
        <f>Resumen!B96</f>
        <v>70000000.08000001</v>
      </c>
      <c r="G78" s="25">
        <f>Resumen!D96</f>
        <v>92261435.64</v>
      </c>
      <c r="H78" s="25">
        <f>Resumen!E96</f>
        <v>28947837.600000005</v>
      </c>
      <c r="I78" s="72">
        <f>F78/F9</f>
        <v>0.02815812813427942</v>
      </c>
    </row>
    <row r="79" spans="5:9" ht="12.75">
      <c r="E79" s="271" t="s">
        <v>493</v>
      </c>
      <c r="F79" s="25">
        <f>Resumen!B97</f>
        <v>39528049.08</v>
      </c>
      <c r="G79" s="25">
        <f>Resumen!D97</f>
        <v>0</v>
      </c>
      <c r="H79" s="25">
        <f>Resumen!E97</f>
        <v>20614975.200000003</v>
      </c>
      <c r="I79" s="72">
        <f>F79/F9</f>
        <v>0.015900512423152633</v>
      </c>
    </row>
    <row r="80" spans="5:9" ht="12.75">
      <c r="E80" s="95" t="s">
        <v>494</v>
      </c>
      <c r="F80" s="25" t="e">
        <f>Resumen!#REF!</f>
        <v>#REF!</v>
      </c>
      <c r="G80" s="25" t="e">
        <f>Resumen!#REF!</f>
        <v>#REF!</v>
      </c>
      <c r="H80" s="25" t="e">
        <f>Resumen!#REF!</f>
        <v>#REF!</v>
      </c>
      <c r="I80" s="72" t="e">
        <f>F80/F9</f>
        <v>#REF!</v>
      </c>
    </row>
    <row r="81" spans="5:9" ht="12.75">
      <c r="E81" s="95" t="s">
        <v>483</v>
      </c>
      <c r="F81" s="25">
        <f>Resumen!B240</f>
        <v>620893.7199999999</v>
      </c>
      <c r="G81" s="25">
        <f>Resumen!D240</f>
        <v>627927</v>
      </c>
      <c r="H81" s="25">
        <f>Resumen!E240</f>
        <v>5500000.380000003</v>
      </c>
      <c r="I81" s="72">
        <f>F81/F9</f>
        <v>0.00024976007007926565</v>
      </c>
    </row>
    <row r="82" spans="5:9" ht="12.75">
      <c r="E82" s="95" t="s">
        <v>495</v>
      </c>
      <c r="F82" s="25">
        <f>Resumen!B48</f>
        <v>4116852</v>
      </c>
      <c r="G82" s="25">
        <f>Resumen!D48</f>
        <v>1987116</v>
      </c>
      <c r="H82" s="25">
        <f>Resumen!E48</f>
        <v>1642625.64</v>
      </c>
      <c r="I82" s="72">
        <f>F82/F9</f>
        <v>0.001656040657048303</v>
      </c>
    </row>
    <row r="83" spans="5:9" ht="12.75">
      <c r="E83" s="108"/>
      <c r="F83" s="108"/>
      <c r="G83" s="108"/>
      <c r="H83" s="108"/>
      <c r="I83" s="72"/>
    </row>
    <row r="84" spans="5:9" ht="20.25" customHeight="1">
      <c r="E84" s="285" t="s">
        <v>55</v>
      </c>
      <c r="F84" s="276" t="e">
        <f>SUM(F66:F82)</f>
        <v>#REF!</v>
      </c>
      <c r="G84" s="276" t="e">
        <f>SUM(G66:G82)</f>
        <v>#REF!</v>
      </c>
      <c r="H84" s="276" t="e">
        <f>SUM(H66:H82)</f>
        <v>#REF!</v>
      </c>
      <c r="I84" s="72"/>
    </row>
    <row r="85" spans="5:8" ht="25.5">
      <c r="E85" s="283" t="s">
        <v>496</v>
      </c>
      <c r="F85" s="284" t="e">
        <f>F84/F9</f>
        <v>#REF!</v>
      </c>
      <c r="G85" s="284" t="e">
        <f>G84/G9</f>
        <v>#REF!</v>
      </c>
      <c r="H85" s="284" t="e">
        <f>H84/H9</f>
        <v>#REF!</v>
      </c>
    </row>
  </sheetData>
  <sheetProtection/>
  <mergeCells count="15">
    <mergeCell ref="E61:E62"/>
    <mergeCell ref="J5:K5"/>
    <mergeCell ref="J6:K6"/>
    <mergeCell ref="E58:H58"/>
    <mergeCell ref="J19:K19"/>
    <mergeCell ref="J20:K20"/>
    <mergeCell ref="J21:K21"/>
    <mergeCell ref="E5:H5"/>
    <mergeCell ref="E6:H6"/>
    <mergeCell ref="B63:C63"/>
    <mergeCell ref="B64:C64"/>
    <mergeCell ref="B5:C5"/>
    <mergeCell ref="B19:C19"/>
    <mergeCell ref="B20:C20"/>
    <mergeCell ref="B34:C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20"/>
  <sheetViews>
    <sheetView tabSelected="1" zoomScalePageLayoutView="0" workbookViewId="0" topLeftCell="A1">
      <selection activeCell="K11" sqref="K11"/>
    </sheetView>
  </sheetViews>
  <sheetFormatPr defaultColWidth="11.421875" defaultRowHeight="12.75"/>
  <cols>
    <col min="1" max="1" width="6.28125" style="0" bestFit="1" customWidth="1"/>
    <col min="2" max="2" width="7.00390625" style="0" bestFit="1" customWidth="1"/>
    <col min="3" max="3" width="54.421875" style="0" bestFit="1" customWidth="1"/>
    <col min="4" max="5" width="13.28125" style="0" bestFit="1" customWidth="1"/>
  </cols>
  <sheetData>
    <row r="2" spans="1:5" ht="15.75">
      <c r="A2" s="746" t="s">
        <v>0</v>
      </c>
      <c r="B2" s="746"/>
      <c r="C2" s="746"/>
      <c r="D2" s="746"/>
      <c r="E2" s="746"/>
    </row>
    <row r="3" spans="1:3" ht="12.75">
      <c r="A3" s="11"/>
      <c r="B3" s="11"/>
      <c r="C3" s="88"/>
    </row>
    <row r="4" spans="1:5" ht="15.75">
      <c r="A4" s="746" t="s">
        <v>1282</v>
      </c>
      <c r="B4" s="746"/>
      <c r="C4" s="746"/>
      <c r="D4" s="746"/>
      <c r="E4" s="746"/>
    </row>
    <row r="5" spans="1:5" ht="12.75">
      <c r="A5" s="738" t="s">
        <v>1284</v>
      </c>
      <c r="B5" s="738"/>
      <c r="C5" s="738"/>
      <c r="D5" s="738"/>
      <c r="E5" s="738"/>
    </row>
    <row r="6" spans="1:5" ht="12.75">
      <c r="A6" s="739" t="s">
        <v>1283</v>
      </c>
      <c r="B6" s="739"/>
      <c r="C6" s="739"/>
      <c r="D6" s="739"/>
      <c r="E6" s="739"/>
    </row>
    <row r="8" spans="1:5" ht="12.75" customHeight="1">
      <c r="A8" s="740" t="s">
        <v>1016</v>
      </c>
      <c r="B8" s="742" t="s">
        <v>1017</v>
      </c>
      <c r="C8" s="744" t="s">
        <v>1</v>
      </c>
      <c r="D8" s="549" t="s">
        <v>1183</v>
      </c>
      <c r="E8" s="548" t="s">
        <v>1181</v>
      </c>
    </row>
    <row r="9" spans="1:5" ht="12.75">
      <c r="A9" s="741"/>
      <c r="B9" s="743"/>
      <c r="C9" s="745"/>
      <c r="D9" s="550" t="s">
        <v>25</v>
      </c>
      <c r="E9" s="550" t="s">
        <v>25</v>
      </c>
    </row>
    <row r="10" spans="1:5" ht="12.75">
      <c r="A10" s="523"/>
      <c r="B10" s="524"/>
      <c r="C10" s="512" t="s">
        <v>10</v>
      </c>
      <c r="D10" s="717"/>
      <c r="E10" s="717"/>
    </row>
    <row r="11" spans="1:5" ht="12.75">
      <c r="A11" s="523"/>
      <c r="B11" s="524"/>
      <c r="C11" s="523"/>
      <c r="D11" s="54"/>
      <c r="E11" s="54"/>
    </row>
    <row r="12" spans="1:5" ht="12.75">
      <c r="A12" s="512">
        <v>59</v>
      </c>
      <c r="B12" s="525">
        <v>114</v>
      </c>
      <c r="C12" s="512" t="s">
        <v>1018</v>
      </c>
      <c r="D12" s="552"/>
      <c r="E12" s="552"/>
    </row>
    <row r="13" spans="1:5" ht="12.75">
      <c r="A13" s="523"/>
      <c r="B13" s="524">
        <v>114232</v>
      </c>
      <c r="C13" s="523" t="s">
        <v>1019</v>
      </c>
      <c r="D13" s="516">
        <v>123436805.26</v>
      </c>
      <c r="E13" s="516">
        <v>123436805.26</v>
      </c>
    </row>
    <row r="14" spans="1:5" ht="12.75">
      <c r="A14" s="512"/>
      <c r="B14" s="525">
        <v>16</v>
      </c>
      <c r="C14" s="512" t="s">
        <v>1020</v>
      </c>
      <c r="D14" s="553">
        <v>727227.69</v>
      </c>
      <c r="E14" s="553">
        <v>727227.69</v>
      </c>
    </row>
    <row r="15" spans="1:5" ht="12.75">
      <c r="A15" s="523">
        <v>53</v>
      </c>
      <c r="B15" s="524">
        <v>161206</v>
      </c>
      <c r="C15" s="526" t="s">
        <v>1021</v>
      </c>
      <c r="D15" s="551"/>
      <c r="E15" s="551"/>
    </row>
    <row r="16" spans="1:5" ht="12.75">
      <c r="A16" s="523"/>
      <c r="B16" s="524">
        <v>16121</v>
      </c>
      <c r="C16" s="526" t="s">
        <v>1022</v>
      </c>
      <c r="D16" s="551">
        <v>727227.69</v>
      </c>
      <c r="E16" s="551">
        <v>727227.69</v>
      </c>
    </row>
    <row r="17" spans="1:5" ht="12.75">
      <c r="A17" s="512"/>
      <c r="B17" s="525"/>
      <c r="C17" s="512" t="s">
        <v>13</v>
      </c>
      <c r="D17" s="553">
        <v>1717932.8399999999</v>
      </c>
      <c r="E17" s="553">
        <v>1717932.8399999999</v>
      </c>
    </row>
    <row r="18" spans="1:5" ht="12.75">
      <c r="A18" s="523"/>
      <c r="B18" s="524">
        <v>9101</v>
      </c>
      <c r="C18" s="523" t="s">
        <v>1023</v>
      </c>
      <c r="D18" s="551">
        <v>15460</v>
      </c>
      <c r="E18" s="551">
        <v>15460</v>
      </c>
    </row>
    <row r="19" spans="1:5" ht="12.75">
      <c r="A19" s="523"/>
      <c r="B19" s="524">
        <v>9102</v>
      </c>
      <c r="C19" s="527" t="s">
        <v>1024</v>
      </c>
      <c r="D19" s="551">
        <v>7600</v>
      </c>
      <c r="E19" s="551">
        <v>7600</v>
      </c>
    </row>
    <row r="20" spans="1:5" ht="12.75">
      <c r="A20" s="523"/>
      <c r="B20" s="524">
        <v>9103</v>
      </c>
      <c r="C20" s="528" t="s">
        <v>567</v>
      </c>
      <c r="D20" s="551">
        <v>0</v>
      </c>
      <c r="E20" s="551">
        <v>0</v>
      </c>
    </row>
    <row r="21" spans="1:5" ht="12.75">
      <c r="A21" s="523"/>
      <c r="B21" s="524">
        <v>9104</v>
      </c>
      <c r="C21" s="523" t="s">
        <v>565</v>
      </c>
      <c r="D21" s="551">
        <v>4428.9</v>
      </c>
      <c r="E21" s="551">
        <v>4428.9</v>
      </c>
    </row>
    <row r="22" spans="1:5" ht="12.75">
      <c r="A22" s="523"/>
      <c r="B22" s="524">
        <v>9105</v>
      </c>
      <c r="C22" s="523" t="s">
        <v>1025</v>
      </c>
      <c r="D22" s="551">
        <v>1396476.69</v>
      </c>
      <c r="E22" s="551">
        <v>1396476.69</v>
      </c>
    </row>
    <row r="23" spans="1:5" ht="12.75">
      <c r="A23" s="523"/>
      <c r="B23" s="524">
        <v>9106</v>
      </c>
      <c r="C23" s="523" t="s">
        <v>1026</v>
      </c>
      <c r="D23" s="551">
        <v>21000</v>
      </c>
      <c r="E23" s="551">
        <v>21000</v>
      </c>
    </row>
    <row r="24" spans="1:5" ht="9.75" customHeight="1" hidden="1">
      <c r="A24" s="523"/>
      <c r="B24" s="524">
        <v>9107</v>
      </c>
      <c r="C24" s="523" t="s">
        <v>1027</v>
      </c>
      <c r="D24" s="551"/>
      <c r="E24" s="551"/>
    </row>
    <row r="25" spans="1:5" ht="12.75" hidden="1">
      <c r="A25" s="523"/>
      <c r="B25" s="524">
        <v>9108</v>
      </c>
      <c r="C25" s="523" t="s">
        <v>1028</v>
      </c>
      <c r="D25" s="551"/>
      <c r="E25" s="551"/>
    </row>
    <row r="26" spans="1:5" ht="12.75" hidden="1">
      <c r="A26" s="523"/>
      <c r="B26" s="524">
        <v>9109</v>
      </c>
      <c r="C26" s="523" t="s">
        <v>1029</v>
      </c>
      <c r="D26" s="551"/>
      <c r="E26" s="551"/>
    </row>
    <row r="27" spans="1:5" ht="12.75">
      <c r="A27" s="523"/>
      <c r="B27" s="524">
        <v>9112</v>
      </c>
      <c r="C27" s="523" t="s">
        <v>672</v>
      </c>
      <c r="D27" s="551">
        <v>272967.25</v>
      </c>
      <c r="E27" s="551">
        <v>272967.25</v>
      </c>
    </row>
    <row r="28" spans="1:5" ht="12.75" hidden="1">
      <c r="A28" s="523"/>
      <c r="B28" s="524">
        <v>9199</v>
      </c>
      <c r="C28" s="523" t="s">
        <v>13</v>
      </c>
      <c r="D28" s="551"/>
      <c r="E28" s="551"/>
    </row>
    <row r="29" spans="1:5" ht="12.75" hidden="1">
      <c r="A29" s="512"/>
      <c r="B29" s="524">
        <v>9152</v>
      </c>
      <c r="C29" s="523" t="s">
        <v>571</v>
      </c>
      <c r="D29" s="552"/>
      <c r="E29" s="552"/>
    </row>
    <row r="30" spans="1:5" ht="12.75" hidden="1">
      <c r="A30" s="512"/>
      <c r="B30" s="524">
        <v>9153</v>
      </c>
      <c r="C30" s="523" t="s">
        <v>1030</v>
      </c>
      <c r="D30" s="552"/>
      <c r="E30" s="552"/>
    </row>
    <row r="31" spans="1:5" ht="12.75">
      <c r="A31" s="512">
        <v>74</v>
      </c>
      <c r="B31" s="525"/>
      <c r="C31" s="512" t="s">
        <v>1031</v>
      </c>
      <c r="D31" s="552"/>
      <c r="E31" s="552"/>
    </row>
    <row r="32" spans="1:5" ht="12.75">
      <c r="A32" s="523"/>
      <c r="B32" s="524">
        <v>741</v>
      </c>
      <c r="C32" s="523" t="s">
        <v>1032</v>
      </c>
      <c r="D32" s="552">
        <v>44413999.97999999</v>
      </c>
      <c r="E32" s="552">
        <v>44413999.97999999</v>
      </c>
    </row>
    <row r="33" spans="1:5" ht="12.75">
      <c r="A33" s="523"/>
      <c r="B33" s="524">
        <v>742</v>
      </c>
      <c r="C33" s="523" t="s">
        <v>1033</v>
      </c>
      <c r="D33" s="552"/>
      <c r="E33" s="552"/>
    </row>
    <row r="34" spans="1:5" ht="12.75" hidden="1">
      <c r="A34" s="523"/>
      <c r="B34" s="524"/>
      <c r="C34" s="523"/>
      <c r="D34" s="552"/>
      <c r="E34" s="552"/>
    </row>
    <row r="35" spans="1:5" ht="12.75" hidden="1">
      <c r="A35" s="512">
        <v>84</v>
      </c>
      <c r="B35" s="525"/>
      <c r="C35" s="512" t="s">
        <v>1034</v>
      </c>
      <c r="D35" s="552"/>
      <c r="E35" s="552"/>
    </row>
    <row r="36" spans="1:5" ht="12.75" hidden="1">
      <c r="A36" s="523"/>
      <c r="B36" s="524">
        <v>841</v>
      </c>
      <c r="C36" s="523" t="s">
        <v>1035</v>
      </c>
      <c r="D36" s="552"/>
      <c r="E36" s="552"/>
    </row>
    <row r="37" spans="1:5" ht="12.75" hidden="1">
      <c r="A37" s="523"/>
      <c r="B37" s="524">
        <v>842</v>
      </c>
      <c r="C37" s="523" t="s">
        <v>1036</v>
      </c>
      <c r="D37" s="552"/>
      <c r="E37" s="552"/>
    </row>
    <row r="38" spans="1:5" ht="12.75">
      <c r="A38" s="523"/>
      <c r="B38" s="524"/>
      <c r="C38" s="523"/>
      <c r="D38" s="551"/>
      <c r="E38" s="551"/>
    </row>
    <row r="39" spans="1:5" ht="12.75">
      <c r="A39" s="130"/>
      <c r="B39" s="529"/>
      <c r="C39" s="456" t="s">
        <v>23</v>
      </c>
      <c r="D39" s="554">
        <v>125881965.79</v>
      </c>
      <c r="E39" s="554">
        <v>125881965.79</v>
      </c>
    </row>
    <row r="40" spans="1:5" ht="12.75">
      <c r="A40" s="523"/>
      <c r="B40" s="524"/>
      <c r="C40" s="523"/>
      <c r="D40" s="551"/>
      <c r="E40" s="551"/>
    </row>
    <row r="41" spans="1:5" ht="12.75">
      <c r="A41" s="523"/>
      <c r="B41" s="524"/>
      <c r="C41" s="512"/>
      <c r="D41" s="551"/>
      <c r="E41" s="551"/>
    </row>
    <row r="42" spans="1:5" ht="12.75">
      <c r="A42" s="530"/>
      <c r="B42" s="531">
        <v>21</v>
      </c>
      <c r="C42" s="530" t="s">
        <v>15</v>
      </c>
      <c r="D42" s="447">
        <v>82851976.26999998</v>
      </c>
      <c r="E42" s="447">
        <v>78407897.14</v>
      </c>
    </row>
    <row r="43" spans="1:5" ht="12.75">
      <c r="A43" s="512"/>
      <c r="B43" s="525">
        <v>211</v>
      </c>
      <c r="C43" s="512" t="s">
        <v>504</v>
      </c>
      <c r="D43" s="556">
        <v>67871001.91</v>
      </c>
      <c r="E43" s="556">
        <v>63426922.78000001</v>
      </c>
    </row>
    <row r="44" spans="1:5" ht="12.75">
      <c r="A44" s="523">
        <v>11</v>
      </c>
      <c r="B44" s="524">
        <v>2111</v>
      </c>
      <c r="C44" s="523" t="s">
        <v>1037</v>
      </c>
      <c r="D44" s="557">
        <v>55023048.28</v>
      </c>
      <c r="E44" s="557">
        <v>55023048.28</v>
      </c>
    </row>
    <row r="45" spans="1:5" ht="12.75">
      <c r="A45" s="523">
        <v>12</v>
      </c>
      <c r="B45" s="524">
        <v>211201</v>
      </c>
      <c r="C45" s="523" t="s">
        <v>1038</v>
      </c>
      <c r="D45" s="516">
        <v>3925000</v>
      </c>
      <c r="E45" s="516">
        <v>3925000</v>
      </c>
    </row>
    <row r="46" spans="1:5" ht="12.75" hidden="1">
      <c r="A46" s="523"/>
      <c r="B46" s="524"/>
      <c r="C46" s="523" t="s">
        <v>1039</v>
      </c>
      <c r="D46" s="557"/>
      <c r="E46" s="557"/>
    </row>
    <row r="47" spans="1:5" ht="12.75">
      <c r="A47" s="523"/>
      <c r="B47" s="524">
        <v>2114</v>
      </c>
      <c r="C47" s="523" t="s">
        <v>1040</v>
      </c>
      <c r="D47" s="557">
        <v>5450054.7</v>
      </c>
      <c r="E47" s="557">
        <v>28181.450000000186</v>
      </c>
    </row>
    <row r="48" spans="1:5" ht="12.75">
      <c r="A48" s="523"/>
      <c r="B48" s="524">
        <v>211503</v>
      </c>
      <c r="C48" s="523" t="s">
        <v>1041</v>
      </c>
      <c r="D48" s="557">
        <v>2012846.01</v>
      </c>
      <c r="E48" s="557">
        <v>2990640.13</v>
      </c>
    </row>
    <row r="49" spans="1:5" ht="12.75">
      <c r="A49" s="523"/>
      <c r="B49" s="524">
        <v>211601</v>
      </c>
      <c r="C49" s="523" t="s">
        <v>1042</v>
      </c>
      <c r="D49" s="516">
        <v>1460052.92</v>
      </c>
      <c r="E49" s="516">
        <v>1460052.92</v>
      </c>
    </row>
    <row r="50" spans="1:5" ht="12.75">
      <c r="A50" s="512">
        <v>12</v>
      </c>
      <c r="B50" s="525">
        <v>212</v>
      </c>
      <c r="C50" s="512" t="s">
        <v>1043</v>
      </c>
      <c r="D50" s="556">
        <v>4492338.1</v>
      </c>
      <c r="E50" s="556">
        <v>4492338.1</v>
      </c>
    </row>
    <row r="51" spans="1:5" ht="12.75">
      <c r="A51" s="512"/>
      <c r="B51" s="525">
        <v>2122</v>
      </c>
      <c r="C51" s="512" t="s">
        <v>524</v>
      </c>
      <c r="D51" s="556">
        <v>4492338.1</v>
      </c>
      <c r="E51" s="556">
        <v>4492338.1</v>
      </c>
    </row>
    <row r="52" spans="1:5" ht="12.75" hidden="1">
      <c r="A52" s="523"/>
      <c r="B52" s="524">
        <v>2122</v>
      </c>
      <c r="C52" s="523" t="s">
        <v>1044</v>
      </c>
      <c r="D52" s="551">
        <v>0</v>
      </c>
      <c r="E52" s="551">
        <v>0</v>
      </c>
    </row>
    <row r="53" spans="1:5" ht="12.75">
      <c r="A53" s="523"/>
      <c r="B53" s="524">
        <v>212202</v>
      </c>
      <c r="C53" s="523" t="s">
        <v>1045</v>
      </c>
      <c r="D53" s="557">
        <v>204334.76</v>
      </c>
      <c r="E53" s="557">
        <v>204334.76</v>
      </c>
    </row>
    <row r="54" spans="1:5" ht="12.75" hidden="1">
      <c r="A54" s="523"/>
      <c r="B54" s="524">
        <v>212204</v>
      </c>
      <c r="C54" s="523" t="s">
        <v>1046</v>
      </c>
      <c r="D54" s="557"/>
      <c r="E54" s="557"/>
    </row>
    <row r="55" spans="1:5" ht="12.75">
      <c r="A55" s="523"/>
      <c r="B55" s="524">
        <v>212205</v>
      </c>
      <c r="C55" s="527" t="s">
        <v>1047</v>
      </c>
      <c r="D55" s="516">
        <v>4288003.34</v>
      </c>
      <c r="E55" s="516">
        <v>4288003.34</v>
      </c>
    </row>
    <row r="56" spans="1:5" ht="12.75" hidden="1">
      <c r="A56" s="523"/>
      <c r="B56" s="524">
        <v>212208</v>
      </c>
      <c r="C56" s="527" t="s">
        <v>1048</v>
      </c>
      <c r="D56" s="557"/>
      <c r="E56" s="557"/>
    </row>
    <row r="57" spans="1:5" ht="12.75">
      <c r="A57" s="512"/>
      <c r="B57" s="525">
        <v>2131</v>
      </c>
      <c r="C57" s="532" t="s">
        <v>1049</v>
      </c>
      <c r="D57" s="553">
        <v>289258.35</v>
      </c>
      <c r="E57" s="553">
        <v>289258.35</v>
      </c>
    </row>
    <row r="58" spans="1:5" ht="12.75" hidden="1">
      <c r="A58" s="523"/>
      <c r="B58" s="524">
        <v>213101</v>
      </c>
      <c r="C58" s="527" t="s">
        <v>1050</v>
      </c>
      <c r="D58" s="557"/>
      <c r="E58" s="557"/>
    </row>
    <row r="59" spans="1:5" ht="12.75">
      <c r="A59" s="523"/>
      <c r="B59" s="524">
        <v>2132</v>
      </c>
      <c r="C59" s="527" t="s">
        <v>1051</v>
      </c>
      <c r="D59" s="516">
        <v>289258.35</v>
      </c>
      <c r="E59" s="516">
        <v>289258.35</v>
      </c>
    </row>
    <row r="60" spans="1:5" ht="12.75">
      <c r="A60" s="512">
        <v>14</v>
      </c>
      <c r="B60" s="525">
        <v>214</v>
      </c>
      <c r="C60" s="532" t="s">
        <v>95</v>
      </c>
      <c r="D60" s="559">
        <v>2886416.58</v>
      </c>
      <c r="E60" s="559">
        <v>2886416.58</v>
      </c>
    </row>
    <row r="61" spans="1:5" ht="12.75" hidden="1">
      <c r="A61" s="512"/>
      <c r="B61" s="524">
        <v>2142</v>
      </c>
      <c r="C61" s="523" t="s">
        <v>1052</v>
      </c>
      <c r="D61" s="552"/>
      <c r="E61" s="552"/>
    </row>
    <row r="62" spans="1:5" ht="12.75">
      <c r="A62" s="512"/>
      <c r="B62" s="524">
        <v>214201</v>
      </c>
      <c r="C62" s="523" t="s">
        <v>1053</v>
      </c>
      <c r="D62" s="516">
        <v>2190180.32</v>
      </c>
      <c r="E62" s="516">
        <v>2190180.32</v>
      </c>
    </row>
    <row r="63" spans="1:5" ht="12.75">
      <c r="A63" s="523"/>
      <c r="B63" s="524">
        <v>214202</v>
      </c>
      <c r="C63" s="523" t="s">
        <v>1054</v>
      </c>
      <c r="D63" s="516">
        <v>32000</v>
      </c>
      <c r="E63" s="516">
        <v>32000</v>
      </c>
    </row>
    <row r="64" spans="1:5" ht="12.75" hidden="1">
      <c r="A64" s="523"/>
      <c r="B64" s="524"/>
      <c r="C64" s="523" t="s">
        <v>281</v>
      </c>
      <c r="D64" s="551"/>
      <c r="E64" s="551"/>
    </row>
    <row r="65" spans="1:5" ht="12.75">
      <c r="A65" s="523"/>
      <c r="B65" s="524">
        <v>214203</v>
      </c>
      <c r="C65" s="523" t="s">
        <v>1055</v>
      </c>
      <c r="D65" s="557">
        <v>664236.26</v>
      </c>
      <c r="E65" s="557">
        <v>664236.26</v>
      </c>
    </row>
    <row r="66" spans="1:5" ht="12.75" hidden="1">
      <c r="A66" s="523"/>
      <c r="B66" s="524"/>
      <c r="C66" s="523" t="s">
        <v>1056</v>
      </c>
      <c r="D66" s="513">
        <v>0</v>
      </c>
      <c r="E66" s="513">
        <v>0</v>
      </c>
    </row>
    <row r="67" spans="1:5" ht="12.75">
      <c r="A67" s="512">
        <v>15</v>
      </c>
      <c r="B67" s="525">
        <v>215</v>
      </c>
      <c r="C67" s="512" t="s">
        <v>122</v>
      </c>
      <c r="D67" s="556">
        <v>7312961.33</v>
      </c>
      <c r="E67" s="556">
        <v>7312961.33</v>
      </c>
    </row>
    <row r="68" spans="1:5" ht="12.75">
      <c r="A68" s="512"/>
      <c r="B68" s="525">
        <v>2151</v>
      </c>
      <c r="C68" s="523" t="s">
        <v>655</v>
      </c>
      <c r="D68" s="516">
        <v>3059537.51</v>
      </c>
      <c r="E68" s="516">
        <v>3059537.51</v>
      </c>
    </row>
    <row r="69" spans="1:5" ht="12.75">
      <c r="A69" s="523"/>
      <c r="B69" s="524">
        <v>2152</v>
      </c>
      <c r="C69" s="523" t="s">
        <v>656</v>
      </c>
      <c r="D69" s="516">
        <v>3882728.88</v>
      </c>
      <c r="E69" s="516">
        <v>3882728.88</v>
      </c>
    </row>
    <row r="70" spans="1:5" ht="12.75">
      <c r="A70" s="523"/>
      <c r="B70" s="524">
        <v>2153</v>
      </c>
      <c r="C70" s="523" t="s">
        <v>657</v>
      </c>
      <c r="D70" s="516">
        <v>370694.94</v>
      </c>
      <c r="E70" s="516">
        <v>370694.94</v>
      </c>
    </row>
    <row r="71" spans="1:5" ht="12.75">
      <c r="A71" s="523"/>
      <c r="B71" s="524"/>
      <c r="C71" s="523"/>
      <c r="D71" s="551"/>
      <c r="E71" s="551"/>
    </row>
    <row r="72" spans="1:5" ht="12.75">
      <c r="A72" s="530"/>
      <c r="B72" s="531">
        <v>22</v>
      </c>
      <c r="C72" s="530" t="s">
        <v>17</v>
      </c>
      <c r="D72" s="561">
        <v>15572891.51</v>
      </c>
      <c r="E72" s="561">
        <v>18632671.29</v>
      </c>
    </row>
    <row r="73" spans="1:5" ht="12.75">
      <c r="A73" s="512">
        <v>21</v>
      </c>
      <c r="B73" s="525">
        <v>221</v>
      </c>
      <c r="C73" s="512" t="s">
        <v>201</v>
      </c>
      <c r="D73" s="556">
        <v>272298.24</v>
      </c>
      <c r="E73" s="556">
        <v>272298.24</v>
      </c>
    </row>
    <row r="74" spans="1:5" ht="12.75" hidden="1">
      <c r="A74" s="523"/>
      <c r="B74" s="524">
        <v>2213</v>
      </c>
      <c r="C74" s="523" t="s">
        <v>1057</v>
      </c>
      <c r="D74" s="557">
        <v>0</v>
      </c>
      <c r="E74" s="557">
        <v>0</v>
      </c>
    </row>
    <row r="75" spans="1:5" ht="12.75">
      <c r="A75" s="523"/>
      <c r="B75" s="524">
        <v>2214</v>
      </c>
      <c r="C75" s="523" t="s">
        <v>1058</v>
      </c>
      <c r="D75" s="557">
        <v>94400</v>
      </c>
      <c r="E75" s="557">
        <v>94400</v>
      </c>
    </row>
    <row r="76" spans="1:5" ht="12.75">
      <c r="A76" s="523"/>
      <c r="B76" s="524">
        <v>2215</v>
      </c>
      <c r="C76" s="523" t="s">
        <v>1059</v>
      </c>
      <c r="D76" s="557">
        <v>169376.22</v>
      </c>
      <c r="E76" s="557">
        <v>169376.22</v>
      </c>
    </row>
    <row r="77" spans="1:5" ht="12.75" hidden="1">
      <c r="A77" s="512"/>
      <c r="B77" s="525"/>
      <c r="C77" s="512" t="s">
        <v>143</v>
      </c>
      <c r="D77" s="553">
        <v>8522.02</v>
      </c>
      <c r="E77" s="553">
        <v>8522.02</v>
      </c>
    </row>
    <row r="78" spans="1:5" ht="12.75">
      <c r="A78" s="523"/>
      <c r="B78" s="524">
        <v>2216</v>
      </c>
      <c r="C78" s="523" t="s">
        <v>1060</v>
      </c>
      <c r="D78" s="557">
        <v>5279.02</v>
      </c>
      <c r="E78" s="557">
        <v>5279.02</v>
      </c>
    </row>
    <row r="79" spans="1:5" ht="12.75">
      <c r="A79" s="523"/>
      <c r="B79" s="524">
        <v>2217</v>
      </c>
      <c r="C79" s="523" t="s">
        <v>1061</v>
      </c>
      <c r="D79" s="557">
        <v>3243</v>
      </c>
      <c r="E79" s="557">
        <v>3243</v>
      </c>
    </row>
    <row r="80" spans="1:5" ht="12.75" hidden="1">
      <c r="A80" s="523"/>
      <c r="B80" s="524">
        <v>2218</v>
      </c>
      <c r="C80" s="523" t="s">
        <v>1062</v>
      </c>
      <c r="D80" s="557">
        <v>0</v>
      </c>
      <c r="E80" s="557">
        <v>0</v>
      </c>
    </row>
    <row r="81" spans="1:5" ht="12.75">
      <c r="A81" s="523"/>
      <c r="B81" s="524">
        <v>222</v>
      </c>
      <c r="C81" s="512" t="s">
        <v>1063</v>
      </c>
      <c r="D81" s="559">
        <v>772370</v>
      </c>
      <c r="E81" s="559">
        <v>772370</v>
      </c>
    </row>
    <row r="82" spans="1:5" ht="12.75">
      <c r="A82" s="523">
        <v>22</v>
      </c>
      <c r="B82" s="524">
        <v>2221</v>
      </c>
      <c r="C82" s="523" t="s">
        <v>1064</v>
      </c>
      <c r="D82" s="557">
        <v>772370</v>
      </c>
      <c r="E82" s="557">
        <v>772370</v>
      </c>
    </row>
    <row r="83" spans="1:5" ht="12.75" hidden="1">
      <c r="A83" s="523"/>
      <c r="B83" s="524">
        <v>2222</v>
      </c>
      <c r="C83" s="523" t="s">
        <v>1065</v>
      </c>
      <c r="D83" s="557">
        <v>0</v>
      </c>
      <c r="E83" s="557">
        <v>0</v>
      </c>
    </row>
    <row r="84" spans="1:5" ht="12.75" hidden="1">
      <c r="A84" s="523"/>
      <c r="B84" s="524">
        <v>2223</v>
      </c>
      <c r="C84" s="523" t="s">
        <v>1066</v>
      </c>
      <c r="D84" s="557">
        <v>0</v>
      </c>
      <c r="E84" s="557">
        <v>0</v>
      </c>
    </row>
    <row r="85" spans="1:5" ht="12.75">
      <c r="A85" s="523">
        <v>23</v>
      </c>
      <c r="B85" s="524">
        <v>223</v>
      </c>
      <c r="C85" s="512" t="s">
        <v>373</v>
      </c>
      <c r="D85" s="556">
        <v>137742</v>
      </c>
      <c r="E85" s="556">
        <v>137742</v>
      </c>
    </row>
    <row r="86" spans="1:5" ht="12.75">
      <c r="A86" s="523"/>
      <c r="B86" s="524">
        <v>2231</v>
      </c>
      <c r="C86" s="523" t="s">
        <v>39</v>
      </c>
      <c r="D86" s="557">
        <v>137742</v>
      </c>
      <c r="E86" s="557">
        <v>137742</v>
      </c>
    </row>
    <row r="87" spans="1:5" ht="12.75" hidden="1">
      <c r="A87" s="523"/>
      <c r="B87" s="524">
        <v>2232</v>
      </c>
      <c r="C87" s="523" t="s">
        <v>40</v>
      </c>
      <c r="D87" s="557">
        <v>0</v>
      </c>
      <c r="E87" s="557">
        <v>0</v>
      </c>
    </row>
    <row r="88" spans="1:5" ht="12.75" hidden="1">
      <c r="A88" s="523">
        <v>24</v>
      </c>
      <c r="B88" s="524">
        <v>224</v>
      </c>
      <c r="C88" s="512" t="s">
        <v>374</v>
      </c>
      <c r="D88" s="556">
        <v>0</v>
      </c>
      <c r="E88" s="556">
        <v>0</v>
      </c>
    </row>
    <row r="89" spans="1:5" ht="12.75" hidden="1">
      <c r="A89" s="512"/>
      <c r="B89" s="525">
        <v>2241</v>
      </c>
      <c r="C89" s="526" t="s">
        <v>1067</v>
      </c>
      <c r="D89" s="557">
        <v>0</v>
      </c>
      <c r="E89" s="557">
        <v>0</v>
      </c>
    </row>
    <row r="90" spans="1:5" ht="12.75" hidden="1">
      <c r="A90" s="523"/>
      <c r="B90" s="524">
        <v>2242</v>
      </c>
      <c r="C90" s="520" t="s">
        <v>263</v>
      </c>
      <c r="D90" s="562">
        <v>0</v>
      </c>
      <c r="E90" s="562">
        <v>0</v>
      </c>
    </row>
    <row r="91" spans="1:5" ht="12.75" hidden="1">
      <c r="A91" s="523"/>
      <c r="B91" s="524">
        <v>2243</v>
      </c>
      <c r="C91" s="523" t="s">
        <v>318</v>
      </c>
      <c r="D91" s="551"/>
      <c r="E91" s="551"/>
    </row>
    <row r="92" spans="1:5" ht="12.75" hidden="1">
      <c r="A92" s="520"/>
      <c r="B92" s="524">
        <v>2244</v>
      </c>
      <c r="C92" s="523" t="s">
        <v>1068</v>
      </c>
      <c r="D92" s="551"/>
      <c r="E92" s="551"/>
    </row>
    <row r="93" spans="1:5" ht="12.75">
      <c r="A93" s="523">
        <v>25</v>
      </c>
      <c r="B93" s="524">
        <v>225</v>
      </c>
      <c r="C93" s="512" t="s">
        <v>202</v>
      </c>
      <c r="D93" s="556">
        <v>1179645.19</v>
      </c>
      <c r="E93" s="556">
        <v>1179645.19</v>
      </c>
    </row>
    <row r="94" spans="1:5" ht="12.75">
      <c r="A94" s="512"/>
      <c r="B94" s="525">
        <v>2251</v>
      </c>
      <c r="C94" s="523" t="s">
        <v>1069</v>
      </c>
      <c r="D94" s="557">
        <v>189366.18</v>
      </c>
      <c r="E94" s="557">
        <v>189366.18</v>
      </c>
    </row>
    <row r="95" spans="1:5" ht="12.75" hidden="1">
      <c r="A95" s="512"/>
      <c r="B95" s="525">
        <v>2253</v>
      </c>
      <c r="C95" s="523" t="s">
        <v>1070</v>
      </c>
      <c r="D95" s="552"/>
      <c r="E95" s="552"/>
    </row>
    <row r="96" spans="1:5" ht="12.75" hidden="1">
      <c r="A96" s="512"/>
      <c r="B96" s="525"/>
      <c r="C96" s="523" t="s">
        <v>1071</v>
      </c>
      <c r="D96" s="552"/>
      <c r="E96" s="552"/>
    </row>
    <row r="97" spans="1:5" ht="12.75" hidden="1">
      <c r="A97" s="512"/>
      <c r="B97" s="525">
        <v>225302</v>
      </c>
      <c r="C97" s="523" t="s">
        <v>1072</v>
      </c>
      <c r="D97" s="552">
        <v>0</v>
      </c>
      <c r="E97" s="552">
        <v>0</v>
      </c>
    </row>
    <row r="98" spans="1:5" ht="12.75" hidden="1">
      <c r="A98" s="523"/>
      <c r="B98" s="524">
        <v>2254</v>
      </c>
      <c r="C98" s="523" t="s">
        <v>1073</v>
      </c>
      <c r="D98" s="551"/>
      <c r="E98" s="551"/>
    </row>
    <row r="99" spans="1:5" ht="12.75">
      <c r="A99" s="523"/>
      <c r="B99" s="524">
        <v>2258</v>
      </c>
      <c r="C99" s="523" t="s">
        <v>147</v>
      </c>
      <c r="D99" s="516">
        <v>990279.01</v>
      </c>
      <c r="E99" s="516">
        <v>990279.01</v>
      </c>
    </row>
    <row r="100" spans="1:5" ht="12.75">
      <c r="A100" s="523">
        <v>26</v>
      </c>
      <c r="B100" s="524"/>
      <c r="C100" s="512" t="s">
        <v>104</v>
      </c>
      <c r="D100" s="556">
        <v>7900285.449999999</v>
      </c>
      <c r="E100" s="556">
        <v>10960065.23</v>
      </c>
    </row>
    <row r="101" spans="1:5" ht="12.75">
      <c r="A101" s="512"/>
      <c r="B101" s="524">
        <v>2261</v>
      </c>
      <c r="C101" s="523" t="s">
        <v>1074</v>
      </c>
      <c r="D101" s="553">
        <v>283114.97</v>
      </c>
      <c r="E101" s="553">
        <v>3397379.55</v>
      </c>
    </row>
    <row r="102" spans="1:5" ht="12.75">
      <c r="A102" s="523"/>
      <c r="B102" s="524">
        <v>2262</v>
      </c>
      <c r="C102" s="523" t="s">
        <v>1075</v>
      </c>
      <c r="D102" s="516">
        <v>560611.29</v>
      </c>
      <c r="E102" s="516">
        <v>6727335.41</v>
      </c>
    </row>
    <row r="103" spans="1:5" ht="12.75">
      <c r="A103" s="512"/>
      <c r="B103" s="525">
        <v>2263</v>
      </c>
      <c r="C103" s="512" t="s">
        <v>179</v>
      </c>
      <c r="D103" s="559">
        <v>7056559.1899999995</v>
      </c>
      <c r="E103" s="559">
        <v>835350.27</v>
      </c>
    </row>
    <row r="104" spans="1:5" ht="12.75">
      <c r="A104" s="523"/>
      <c r="B104" s="524">
        <v>22631</v>
      </c>
      <c r="C104" s="523" t="s">
        <v>106</v>
      </c>
      <c r="D104" s="516">
        <v>468985.68</v>
      </c>
      <c r="E104" s="516">
        <v>468985.68</v>
      </c>
    </row>
    <row r="105" spans="1:5" ht="12.75">
      <c r="A105" s="523"/>
      <c r="B105" s="524">
        <v>22632</v>
      </c>
      <c r="C105" s="523" t="s">
        <v>107</v>
      </c>
      <c r="D105" s="516">
        <v>6221208.92</v>
      </c>
      <c r="E105" s="516">
        <v>0</v>
      </c>
    </row>
    <row r="106" spans="1:5" ht="12.75" hidden="1">
      <c r="A106" s="512"/>
      <c r="B106" s="525"/>
      <c r="C106" s="523" t="s">
        <v>1076</v>
      </c>
      <c r="D106" s="552"/>
      <c r="E106" s="552"/>
    </row>
    <row r="107" spans="1:5" ht="12.75" hidden="1">
      <c r="A107" s="523"/>
      <c r="B107" s="524"/>
      <c r="C107" s="523" t="s">
        <v>309</v>
      </c>
      <c r="D107" s="557"/>
      <c r="E107" s="557"/>
    </row>
    <row r="108" spans="1:5" ht="12.75">
      <c r="A108" s="523"/>
      <c r="B108" s="524">
        <v>22633</v>
      </c>
      <c r="C108" s="523" t="s">
        <v>1077</v>
      </c>
      <c r="D108" s="516">
        <v>366364.59</v>
      </c>
      <c r="E108" s="516">
        <v>366364.59</v>
      </c>
    </row>
    <row r="109" spans="1:5" ht="12.75" hidden="1">
      <c r="A109" s="523"/>
      <c r="B109" s="524">
        <v>22634</v>
      </c>
      <c r="C109" s="523" t="s">
        <v>108</v>
      </c>
      <c r="D109" s="516">
        <v>0</v>
      </c>
      <c r="E109" s="516">
        <v>0</v>
      </c>
    </row>
    <row r="110" spans="1:5" ht="12.75">
      <c r="A110" s="523">
        <v>27</v>
      </c>
      <c r="B110" s="524">
        <v>227</v>
      </c>
      <c r="C110" s="512" t="s">
        <v>1078</v>
      </c>
      <c r="D110" s="563">
        <v>992022.81</v>
      </c>
      <c r="E110" s="563">
        <v>992022.81</v>
      </c>
    </row>
    <row r="111" spans="1:5" ht="12.75">
      <c r="A111" s="523"/>
      <c r="B111" s="524">
        <v>2271</v>
      </c>
      <c r="C111" s="512" t="s">
        <v>1079</v>
      </c>
      <c r="D111" s="557">
        <v>243644.89</v>
      </c>
      <c r="E111" s="557">
        <v>243644.89</v>
      </c>
    </row>
    <row r="112" spans="1:5" ht="12.75" hidden="1">
      <c r="A112" s="523"/>
      <c r="B112" s="524">
        <v>227101</v>
      </c>
      <c r="C112" s="527" t="s">
        <v>532</v>
      </c>
      <c r="D112" s="558">
        <v>0</v>
      </c>
      <c r="E112" s="558">
        <v>0</v>
      </c>
    </row>
    <row r="113" spans="1:5" ht="12.75" hidden="1">
      <c r="A113" s="523"/>
      <c r="B113" s="524">
        <v>227102</v>
      </c>
      <c r="C113" s="526" t="s">
        <v>1080</v>
      </c>
      <c r="D113" s="557">
        <v>0</v>
      </c>
      <c r="E113" s="557">
        <v>0</v>
      </c>
    </row>
    <row r="114" spans="1:5" ht="12.75" hidden="1">
      <c r="A114" s="523"/>
      <c r="B114" s="524">
        <v>227103</v>
      </c>
      <c r="C114" s="526" t="s">
        <v>1081</v>
      </c>
      <c r="D114" s="557"/>
      <c r="E114" s="557"/>
    </row>
    <row r="115" spans="1:5" ht="12.75">
      <c r="A115" s="523"/>
      <c r="B115" s="524">
        <v>227104</v>
      </c>
      <c r="C115" s="526" t="s">
        <v>1082</v>
      </c>
      <c r="D115" s="557">
        <v>243644.89</v>
      </c>
      <c r="E115" s="557">
        <v>243644.89</v>
      </c>
    </row>
    <row r="116" spans="1:5" ht="12.75">
      <c r="A116" s="512"/>
      <c r="B116" s="525">
        <v>2272</v>
      </c>
      <c r="C116" s="512" t="s">
        <v>1083</v>
      </c>
      <c r="D116" s="556">
        <v>748377.92</v>
      </c>
      <c r="E116" s="556">
        <v>748377.92</v>
      </c>
    </row>
    <row r="117" spans="1:5" ht="12.75">
      <c r="A117" s="523"/>
      <c r="B117" s="524">
        <v>227201</v>
      </c>
      <c r="C117" s="526" t="s">
        <v>1084</v>
      </c>
      <c r="D117" s="557">
        <v>66928.42</v>
      </c>
      <c r="E117" s="557">
        <v>66928.42</v>
      </c>
    </row>
    <row r="118" spans="1:5" ht="12.75" hidden="1">
      <c r="A118" s="523"/>
      <c r="B118" s="524">
        <v>227202</v>
      </c>
      <c r="C118" s="523" t="s">
        <v>1085</v>
      </c>
      <c r="D118" s="557">
        <v>0</v>
      </c>
      <c r="E118" s="557">
        <v>0</v>
      </c>
    </row>
    <row r="119" spans="1:5" ht="12.75" hidden="1">
      <c r="A119" s="523"/>
      <c r="B119" s="524">
        <v>227203</v>
      </c>
      <c r="C119" s="533" t="s">
        <v>1086</v>
      </c>
      <c r="D119" s="557"/>
      <c r="E119" s="557"/>
    </row>
    <row r="120" spans="1:5" ht="12.75" hidden="1">
      <c r="A120" s="523"/>
      <c r="B120" s="524">
        <v>227204</v>
      </c>
      <c r="C120" s="533" t="s">
        <v>1087</v>
      </c>
      <c r="D120" s="557">
        <v>0</v>
      </c>
      <c r="E120" s="557">
        <v>0</v>
      </c>
    </row>
    <row r="121" spans="1:5" ht="12.75">
      <c r="A121" s="523"/>
      <c r="B121" s="524">
        <v>227205</v>
      </c>
      <c r="C121" s="523" t="s">
        <v>1088</v>
      </c>
      <c r="D121" s="557">
        <v>624262.75</v>
      </c>
      <c r="E121" s="557">
        <v>624262.75</v>
      </c>
    </row>
    <row r="122" spans="1:5" ht="12.75">
      <c r="A122" s="523"/>
      <c r="B122" s="524">
        <v>227206</v>
      </c>
      <c r="C122" s="523" t="s">
        <v>1089</v>
      </c>
      <c r="D122" s="557">
        <v>57186.75</v>
      </c>
      <c r="E122" s="557">
        <v>57186.75</v>
      </c>
    </row>
    <row r="123" spans="1:5" ht="12.75" hidden="1">
      <c r="A123" s="523"/>
      <c r="B123" s="524"/>
      <c r="C123" s="512" t="s">
        <v>182</v>
      </c>
      <c r="D123" s="551"/>
      <c r="E123" s="551"/>
    </row>
    <row r="124" spans="1:5" ht="12.75">
      <c r="A124" s="523">
        <v>28</v>
      </c>
      <c r="B124" s="524"/>
      <c r="C124" s="532" t="s">
        <v>110</v>
      </c>
      <c r="D124" s="559">
        <v>4318527.82</v>
      </c>
      <c r="E124" s="559">
        <v>4318527.82</v>
      </c>
    </row>
    <row r="125" spans="1:5" ht="12.75">
      <c r="A125" s="523"/>
      <c r="B125" s="524">
        <v>2281</v>
      </c>
      <c r="C125" s="527" t="s">
        <v>1090</v>
      </c>
      <c r="D125" s="516">
        <v>60880</v>
      </c>
      <c r="E125" s="516">
        <v>60880</v>
      </c>
    </row>
    <row r="126" spans="1:5" ht="12.75">
      <c r="A126" s="523"/>
      <c r="B126" s="524">
        <v>2282</v>
      </c>
      <c r="C126" s="527" t="s">
        <v>1091</v>
      </c>
      <c r="D126" s="557">
        <v>1086864.12</v>
      </c>
      <c r="E126" s="557">
        <v>1086864.12</v>
      </c>
    </row>
    <row r="127" spans="1:5" ht="12.75" hidden="1">
      <c r="A127" s="523"/>
      <c r="B127" s="524">
        <v>2284</v>
      </c>
      <c r="C127" s="527" t="s">
        <v>1092</v>
      </c>
      <c r="D127" s="557">
        <v>0</v>
      </c>
      <c r="E127" s="557">
        <v>0</v>
      </c>
    </row>
    <row r="128" spans="1:5" ht="12.75" hidden="1">
      <c r="A128" s="523"/>
      <c r="B128" s="524">
        <v>2285</v>
      </c>
      <c r="C128" s="532" t="s">
        <v>534</v>
      </c>
      <c r="D128" s="559">
        <v>0</v>
      </c>
      <c r="E128" s="559">
        <v>0</v>
      </c>
    </row>
    <row r="129" spans="1:5" ht="12.75" hidden="1">
      <c r="A129" s="523"/>
      <c r="B129" s="524">
        <v>228501</v>
      </c>
      <c r="C129" s="523" t="s">
        <v>431</v>
      </c>
      <c r="D129" s="551">
        <v>0</v>
      </c>
      <c r="E129" s="551">
        <v>0</v>
      </c>
    </row>
    <row r="130" spans="1:5" ht="12.75" hidden="1">
      <c r="A130" s="523"/>
      <c r="B130" s="524">
        <v>228502</v>
      </c>
      <c r="C130" s="527" t="s">
        <v>535</v>
      </c>
      <c r="D130" s="557">
        <v>0</v>
      </c>
      <c r="E130" s="557">
        <v>0</v>
      </c>
    </row>
    <row r="131" spans="1:5" ht="12.75" hidden="1">
      <c r="A131" s="523"/>
      <c r="B131" s="524">
        <v>228503</v>
      </c>
      <c r="C131" s="523" t="s">
        <v>536</v>
      </c>
      <c r="D131" s="551">
        <v>0</v>
      </c>
      <c r="E131" s="551">
        <v>0</v>
      </c>
    </row>
    <row r="132" spans="1:5" ht="12.75">
      <c r="A132" s="512"/>
      <c r="B132" s="525">
        <v>228601</v>
      </c>
      <c r="C132" s="512" t="s">
        <v>1093</v>
      </c>
      <c r="D132" s="552">
        <v>1411318</v>
      </c>
      <c r="E132" s="552">
        <v>1411318</v>
      </c>
    </row>
    <row r="133" spans="1:5" ht="12.75" hidden="1">
      <c r="A133" s="512"/>
      <c r="B133" s="525"/>
      <c r="C133" s="298" t="s">
        <v>271</v>
      </c>
      <c r="D133" s="552"/>
      <c r="E133" s="552"/>
    </row>
    <row r="134" spans="1:5" ht="12.75" hidden="1">
      <c r="A134" s="512"/>
      <c r="B134" s="525"/>
      <c r="C134" s="568" t="s">
        <v>855</v>
      </c>
      <c r="D134" s="552"/>
      <c r="E134" s="552"/>
    </row>
    <row r="135" spans="1:5" ht="12.75" hidden="1">
      <c r="A135" s="512"/>
      <c r="B135" s="525"/>
      <c r="C135" s="568" t="s">
        <v>856</v>
      </c>
      <c r="D135" s="552"/>
      <c r="E135" s="552"/>
    </row>
    <row r="136" spans="1:5" ht="12.75" hidden="1">
      <c r="A136" s="512"/>
      <c r="B136" s="525"/>
      <c r="C136" s="568" t="s">
        <v>857</v>
      </c>
      <c r="D136" s="552"/>
      <c r="E136" s="552"/>
    </row>
    <row r="137" spans="1:5" ht="12.75" hidden="1">
      <c r="A137" s="512"/>
      <c r="B137" s="525"/>
      <c r="C137" s="568" t="s">
        <v>937</v>
      </c>
      <c r="D137" s="552"/>
      <c r="E137" s="552"/>
    </row>
    <row r="138" spans="1:5" ht="12.75" hidden="1">
      <c r="A138" s="512"/>
      <c r="B138" s="525"/>
      <c r="C138" s="254" t="s">
        <v>334</v>
      </c>
      <c r="D138" s="552"/>
      <c r="E138" s="552"/>
    </row>
    <row r="139" spans="1:5" ht="12.75" hidden="1">
      <c r="A139" s="512"/>
      <c r="B139" s="525"/>
      <c r="C139" s="254" t="s">
        <v>691</v>
      </c>
      <c r="D139" s="552"/>
      <c r="E139" s="552"/>
    </row>
    <row r="140" spans="1:5" ht="12.75" hidden="1">
      <c r="A140" s="512"/>
      <c r="B140" s="525"/>
      <c r="C140" s="254" t="s">
        <v>320</v>
      </c>
      <c r="D140" s="552"/>
      <c r="E140" s="552"/>
    </row>
    <row r="141" spans="1:5" ht="12.75" hidden="1">
      <c r="A141" s="512"/>
      <c r="B141" s="525"/>
      <c r="C141" s="254" t="s">
        <v>332</v>
      </c>
      <c r="D141" s="552"/>
      <c r="E141" s="552"/>
    </row>
    <row r="142" spans="1:5" ht="12.75" hidden="1">
      <c r="A142" s="512"/>
      <c r="B142" s="525"/>
      <c r="C142" s="254" t="s">
        <v>692</v>
      </c>
      <c r="D142" s="552"/>
      <c r="E142" s="552"/>
    </row>
    <row r="143" spans="1:5" ht="12.75" hidden="1">
      <c r="A143" s="512"/>
      <c r="B143" s="525"/>
      <c r="C143" s="254" t="s">
        <v>335</v>
      </c>
      <c r="D143" s="552"/>
      <c r="E143" s="552"/>
    </row>
    <row r="144" spans="1:5" ht="12.75" hidden="1">
      <c r="A144" s="512"/>
      <c r="B144" s="525"/>
      <c r="C144" s="254" t="s">
        <v>690</v>
      </c>
      <c r="D144" s="552"/>
      <c r="E144" s="552"/>
    </row>
    <row r="145" spans="1:5" ht="12.75" hidden="1">
      <c r="A145" s="512"/>
      <c r="B145" s="525"/>
      <c r="C145" s="254" t="s">
        <v>456</v>
      </c>
      <c r="D145" s="552"/>
      <c r="E145" s="552"/>
    </row>
    <row r="146" spans="1:5" ht="12.75" hidden="1">
      <c r="A146" s="512"/>
      <c r="B146" s="525"/>
      <c r="C146" s="254" t="s">
        <v>707</v>
      </c>
      <c r="D146" s="552"/>
      <c r="E146" s="552"/>
    </row>
    <row r="147" spans="1:5" ht="12.75" hidden="1">
      <c r="A147" s="512"/>
      <c r="B147" s="525"/>
      <c r="C147" s="254" t="s">
        <v>784</v>
      </c>
      <c r="D147" s="552"/>
      <c r="E147" s="552"/>
    </row>
    <row r="148" spans="1:5" ht="12.75" hidden="1">
      <c r="A148" s="512"/>
      <c r="B148" s="525"/>
      <c r="C148" s="254" t="s">
        <v>785</v>
      </c>
      <c r="D148" s="552"/>
      <c r="E148" s="552"/>
    </row>
    <row r="149" spans="1:5" ht="12.75" hidden="1">
      <c r="A149" s="512"/>
      <c r="B149" s="525"/>
      <c r="C149" s="254" t="s">
        <v>786</v>
      </c>
      <c r="D149" s="552"/>
      <c r="E149" s="552"/>
    </row>
    <row r="150" spans="1:5" ht="12.75" hidden="1">
      <c r="A150" s="512"/>
      <c r="B150" s="525"/>
      <c r="C150" s="254" t="s">
        <v>787</v>
      </c>
      <c r="D150" s="552"/>
      <c r="E150" s="552"/>
    </row>
    <row r="151" spans="1:5" ht="12.75" hidden="1">
      <c r="A151" s="512"/>
      <c r="B151" s="525"/>
      <c r="C151" s="254" t="s">
        <v>788</v>
      </c>
      <c r="D151" s="552"/>
      <c r="E151" s="552"/>
    </row>
    <row r="152" spans="1:5" ht="12.75" hidden="1">
      <c r="A152" s="512"/>
      <c r="B152" s="525"/>
      <c r="C152" s="254" t="s">
        <v>876</v>
      </c>
      <c r="D152" s="552"/>
      <c r="E152" s="552"/>
    </row>
    <row r="153" spans="1:5" ht="12.75" hidden="1">
      <c r="A153" s="512"/>
      <c r="B153" s="525"/>
      <c r="C153" s="254" t="s">
        <v>880</v>
      </c>
      <c r="D153" s="552"/>
      <c r="E153" s="552"/>
    </row>
    <row r="154" spans="1:5" ht="12.75" hidden="1">
      <c r="A154" s="512"/>
      <c r="B154" s="525"/>
      <c r="C154" s="254" t="s">
        <v>881</v>
      </c>
      <c r="D154" s="552"/>
      <c r="E154" s="552"/>
    </row>
    <row r="155" spans="1:5" ht="12.75" hidden="1">
      <c r="A155" s="512"/>
      <c r="B155" s="525"/>
      <c r="C155" s="254" t="s">
        <v>882</v>
      </c>
      <c r="D155" s="552"/>
      <c r="E155" s="552"/>
    </row>
    <row r="156" spans="1:5" ht="12.75" hidden="1">
      <c r="A156" s="512"/>
      <c r="B156" s="525"/>
      <c r="C156" s="254" t="s">
        <v>902</v>
      </c>
      <c r="D156" s="552"/>
      <c r="E156" s="552"/>
    </row>
    <row r="157" spans="1:5" ht="12.75" hidden="1">
      <c r="A157" s="512"/>
      <c r="B157" s="525"/>
      <c r="C157" s="254" t="s">
        <v>903</v>
      </c>
      <c r="D157" s="552"/>
      <c r="E157" s="552"/>
    </row>
    <row r="158" spans="1:5" ht="12.75" hidden="1">
      <c r="A158" s="512"/>
      <c r="B158" s="525"/>
      <c r="C158" s="254" t="s">
        <v>904</v>
      </c>
      <c r="D158" s="552"/>
      <c r="E158" s="552"/>
    </row>
    <row r="159" spans="1:5" ht="12.75" hidden="1">
      <c r="A159" s="512"/>
      <c r="B159" s="525"/>
      <c r="C159" s="254" t="s">
        <v>1285</v>
      </c>
      <c r="D159" s="552">
        <v>109600</v>
      </c>
      <c r="E159" s="552"/>
    </row>
    <row r="160" spans="1:5" ht="12.75" hidden="1">
      <c r="A160" s="512"/>
      <c r="B160" s="525"/>
      <c r="C160" s="254" t="s">
        <v>737</v>
      </c>
      <c r="D160" s="552"/>
      <c r="E160" s="552"/>
    </row>
    <row r="161" spans="1:5" ht="12.75" hidden="1">
      <c r="A161" s="512"/>
      <c r="B161" s="525"/>
      <c r="C161" s="254" t="s">
        <v>266</v>
      </c>
      <c r="D161" s="552">
        <v>1750000</v>
      </c>
      <c r="E161" s="552"/>
    </row>
    <row r="162" spans="1:5" ht="12.75" hidden="1">
      <c r="A162" s="523"/>
      <c r="B162" s="524"/>
      <c r="C162" s="512" t="s">
        <v>253</v>
      </c>
      <c r="D162" s="551"/>
      <c r="E162" s="551"/>
    </row>
    <row r="163" spans="1:5" ht="12.75" hidden="1">
      <c r="A163" s="523"/>
      <c r="B163" s="524"/>
      <c r="C163" s="512" t="s">
        <v>256</v>
      </c>
      <c r="D163" s="551">
        <v>-448282</v>
      </c>
      <c r="E163" s="551"/>
    </row>
    <row r="164" spans="1:5" ht="12.75">
      <c r="A164" s="512"/>
      <c r="B164" s="525">
        <v>2287</v>
      </c>
      <c r="C164" s="532" t="s">
        <v>1094</v>
      </c>
      <c r="D164" s="559">
        <v>1759465.7</v>
      </c>
      <c r="E164" s="559">
        <v>1759465.7</v>
      </c>
    </row>
    <row r="165" spans="1:5" ht="12.75" hidden="1">
      <c r="A165" s="523"/>
      <c r="B165" s="524">
        <v>228702</v>
      </c>
      <c r="C165" s="527" t="s">
        <v>1095</v>
      </c>
      <c r="D165" s="557">
        <v>0</v>
      </c>
      <c r="E165" s="557">
        <v>0</v>
      </c>
    </row>
    <row r="166" spans="1:5" ht="12.75" hidden="1">
      <c r="A166" s="523"/>
      <c r="B166" s="524">
        <v>228703</v>
      </c>
      <c r="C166" s="527" t="s">
        <v>1096</v>
      </c>
      <c r="D166" s="557">
        <v>0</v>
      </c>
      <c r="E166" s="557">
        <v>0</v>
      </c>
    </row>
    <row r="167" spans="1:5" ht="12.75">
      <c r="A167" s="523"/>
      <c r="B167" s="524">
        <v>228704</v>
      </c>
      <c r="C167" s="527" t="s">
        <v>1097</v>
      </c>
      <c r="D167" s="551">
        <v>731718</v>
      </c>
      <c r="E167" s="551">
        <v>731718</v>
      </c>
    </row>
    <row r="168" spans="1:5" ht="12.75" hidden="1">
      <c r="A168" s="523"/>
      <c r="B168" s="524">
        <v>228705</v>
      </c>
      <c r="C168" s="526" t="s">
        <v>1098</v>
      </c>
      <c r="D168" s="551">
        <v>0</v>
      </c>
      <c r="E168" s="551">
        <v>0</v>
      </c>
    </row>
    <row r="169" spans="1:5" ht="12.75">
      <c r="A169" s="523"/>
      <c r="B169" s="524">
        <v>228706</v>
      </c>
      <c r="C169" s="527" t="s">
        <v>1099</v>
      </c>
      <c r="D169" s="557">
        <v>1027747.7</v>
      </c>
      <c r="E169" s="557">
        <v>1027747.7</v>
      </c>
    </row>
    <row r="170" spans="1:5" ht="12.75" hidden="1">
      <c r="A170" s="523"/>
      <c r="B170" s="524"/>
      <c r="C170" s="527" t="s">
        <v>561</v>
      </c>
      <c r="D170" s="551"/>
      <c r="E170" s="551"/>
    </row>
    <row r="171" spans="1:5" ht="12.75" hidden="1">
      <c r="A171" s="523"/>
      <c r="B171" s="524">
        <v>2288</v>
      </c>
      <c r="C171" s="532" t="s">
        <v>1100</v>
      </c>
      <c r="D171" s="559">
        <v>0</v>
      </c>
      <c r="E171" s="559">
        <v>0</v>
      </c>
    </row>
    <row r="172" spans="1:5" ht="12.75" hidden="1">
      <c r="A172" s="523"/>
      <c r="B172" s="524">
        <v>228801</v>
      </c>
      <c r="C172" s="527" t="s">
        <v>1101</v>
      </c>
      <c r="D172" s="551"/>
      <c r="E172" s="551"/>
    </row>
    <row r="173" spans="1:5" ht="12.75" hidden="1">
      <c r="A173" s="523"/>
      <c r="B173" s="524">
        <v>228803</v>
      </c>
      <c r="C173" s="527" t="s">
        <v>1102</v>
      </c>
      <c r="D173" s="551"/>
      <c r="E173" s="551"/>
    </row>
    <row r="174" spans="1:5" ht="12.75" hidden="1">
      <c r="A174" s="523"/>
      <c r="B174" s="524">
        <v>228904</v>
      </c>
      <c r="C174" s="527" t="s">
        <v>572</v>
      </c>
      <c r="D174" s="551"/>
      <c r="E174" s="551"/>
    </row>
    <row r="175" spans="1:5" ht="12.75" hidden="1">
      <c r="A175" s="523"/>
      <c r="B175" s="524"/>
      <c r="C175" s="512" t="s">
        <v>1103</v>
      </c>
      <c r="D175" s="551"/>
      <c r="E175" s="551"/>
    </row>
    <row r="176" spans="1:5" ht="12.75">
      <c r="A176" s="523"/>
      <c r="B176" s="524"/>
      <c r="C176" s="523"/>
      <c r="D176" s="551"/>
      <c r="E176" s="551"/>
    </row>
    <row r="177" spans="1:5" ht="12.75">
      <c r="A177" s="530"/>
      <c r="B177" s="531"/>
      <c r="C177" s="530" t="s">
        <v>18</v>
      </c>
      <c r="D177" s="561">
        <v>2564260.04</v>
      </c>
      <c r="E177" s="561">
        <v>2564260.04</v>
      </c>
    </row>
    <row r="178" spans="1:5" ht="12.75">
      <c r="A178" s="523">
        <v>31</v>
      </c>
      <c r="B178" s="524">
        <v>231</v>
      </c>
      <c r="C178" s="532" t="s">
        <v>439</v>
      </c>
      <c r="D178" s="559">
        <v>528876</v>
      </c>
      <c r="E178" s="559">
        <v>528876</v>
      </c>
    </row>
    <row r="179" spans="1:5" ht="12.75" hidden="1">
      <c r="A179" s="512"/>
      <c r="B179" s="525"/>
      <c r="C179" s="527" t="s">
        <v>160</v>
      </c>
      <c r="D179" s="552"/>
      <c r="E179" s="552"/>
    </row>
    <row r="180" spans="1:5" ht="12.75">
      <c r="A180" s="523"/>
      <c r="B180" s="524">
        <v>2311</v>
      </c>
      <c r="C180" s="527" t="s">
        <v>1104</v>
      </c>
      <c r="D180" s="551">
        <v>528876</v>
      </c>
      <c r="E180" s="551">
        <v>528876</v>
      </c>
    </row>
    <row r="181" spans="1:5" ht="12.75" hidden="1">
      <c r="A181" s="523"/>
      <c r="B181" s="524">
        <v>2313</v>
      </c>
      <c r="C181" s="527" t="s">
        <v>1105</v>
      </c>
      <c r="D181" s="551">
        <v>0</v>
      </c>
      <c r="E181" s="551">
        <v>0</v>
      </c>
    </row>
    <row r="182" spans="1:5" ht="12.75" hidden="1">
      <c r="A182" s="523"/>
      <c r="B182" s="524">
        <v>2314</v>
      </c>
      <c r="C182" s="527" t="s">
        <v>1106</v>
      </c>
      <c r="D182" s="551"/>
      <c r="E182" s="551"/>
    </row>
    <row r="183" spans="1:5" ht="12.75" hidden="1">
      <c r="A183" s="523"/>
      <c r="B183" s="524">
        <v>232</v>
      </c>
      <c r="C183" s="532" t="s">
        <v>118</v>
      </c>
      <c r="D183" s="559">
        <v>0</v>
      </c>
      <c r="E183" s="559">
        <v>0</v>
      </c>
    </row>
    <row r="184" spans="1:5" ht="12.75" hidden="1">
      <c r="A184" s="523"/>
      <c r="B184" s="524">
        <v>2321</v>
      </c>
      <c r="C184" s="527" t="s">
        <v>1107</v>
      </c>
      <c r="D184" s="551"/>
      <c r="E184" s="551"/>
    </row>
    <row r="185" spans="1:5" ht="12.75" hidden="1">
      <c r="A185" s="523"/>
      <c r="B185" s="524">
        <v>2322</v>
      </c>
      <c r="C185" s="527" t="s">
        <v>1108</v>
      </c>
      <c r="D185" s="557">
        <v>0</v>
      </c>
      <c r="E185" s="557">
        <v>0</v>
      </c>
    </row>
    <row r="186" spans="1:5" ht="12.75" hidden="1">
      <c r="A186" s="523"/>
      <c r="B186" s="524">
        <v>2323</v>
      </c>
      <c r="C186" s="523" t="s">
        <v>1109</v>
      </c>
      <c r="D186" s="557">
        <v>0</v>
      </c>
      <c r="E186" s="557">
        <v>0</v>
      </c>
    </row>
    <row r="187" spans="1:5" ht="12.75" hidden="1">
      <c r="A187" s="523"/>
      <c r="B187" s="524">
        <v>2324</v>
      </c>
      <c r="C187" s="523" t="s">
        <v>1110</v>
      </c>
      <c r="D187" s="551"/>
      <c r="E187" s="551"/>
    </row>
    <row r="188" spans="1:5" ht="12.75">
      <c r="A188" s="512">
        <v>33</v>
      </c>
      <c r="B188" s="525">
        <v>233</v>
      </c>
      <c r="C188" s="512" t="s">
        <v>378</v>
      </c>
      <c r="D188" s="556">
        <v>249140.49</v>
      </c>
      <c r="E188" s="556">
        <v>249140.49</v>
      </c>
    </row>
    <row r="189" spans="1:5" ht="12.75">
      <c r="A189" s="523"/>
      <c r="B189" s="524">
        <v>2331</v>
      </c>
      <c r="C189" s="523" t="s">
        <v>162</v>
      </c>
      <c r="D189" s="557">
        <v>40134.72</v>
      </c>
      <c r="E189" s="557">
        <v>40134.72</v>
      </c>
    </row>
    <row r="190" spans="1:5" ht="12.75">
      <c r="A190" s="523"/>
      <c r="B190" s="524">
        <v>2332</v>
      </c>
      <c r="C190" s="523" t="s">
        <v>379</v>
      </c>
      <c r="D190" s="557">
        <v>173859.72</v>
      </c>
      <c r="E190" s="557">
        <v>173859.72</v>
      </c>
    </row>
    <row r="191" spans="1:5" ht="12.75">
      <c r="A191" s="523"/>
      <c r="B191" s="524">
        <v>2333</v>
      </c>
      <c r="C191" s="523" t="s">
        <v>172</v>
      </c>
      <c r="D191" s="557">
        <v>35146.05</v>
      </c>
      <c r="E191" s="557">
        <v>35146.05</v>
      </c>
    </row>
    <row r="192" spans="1:5" ht="12.75" hidden="1">
      <c r="A192" s="523"/>
      <c r="B192" s="524">
        <v>2334</v>
      </c>
      <c r="C192" s="523" t="s">
        <v>295</v>
      </c>
      <c r="D192" s="557"/>
      <c r="E192" s="557"/>
    </row>
    <row r="193" spans="1:5" ht="12.75" hidden="1">
      <c r="A193" s="523"/>
      <c r="B193" s="524"/>
      <c r="C193" s="523" t="s">
        <v>192</v>
      </c>
      <c r="D193" s="551"/>
      <c r="E193" s="551"/>
    </row>
    <row r="194" spans="1:5" ht="12.75">
      <c r="A194" s="512">
        <v>34</v>
      </c>
      <c r="B194" s="525">
        <v>2341</v>
      </c>
      <c r="C194" s="512" t="s">
        <v>382</v>
      </c>
      <c r="D194" s="552">
        <v>2</v>
      </c>
      <c r="E194" s="552">
        <v>2</v>
      </c>
    </row>
    <row r="195" spans="1:5" ht="12.75">
      <c r="A195" s="512">
        <v>35</v>
      </c>
      <c r="B195" s="525">
        <v>235</v>
      </c>
      <c r="C195" s="512" t="s">
        <v>1111</v>
      </c>
      <c r="D195" s="556">
        <v>56994</v>
      </c>
      <c r="E195" s="556">
        <v>56994</v>
      </c>
    </row>
    <row r="196" spans="1:5" ht="12.75" hidden="1">
      <c r="A196" s="523"/>
      <c r="B196" s="524">
        <v>2353</v>
      </c>
      <c r="C196" s="523" t="s">
        <v>381</v>
      </c>
      <c r="D196" s="551">
        <v>0</v>
      </c>
      <c r="E196" s="551">
        <v>0</v>
      </c>
    </row>
    <row r="197" spans="1:5" ht="12.75" hidden="1">
      <c r="A197" s="523"/>
      <c r="B197" s="524">
        <v>2354</v>
      </c>
      <c r="C197" s="523" t="s">
        <v>1112</v>
      </c>
      <c r="D197" s="551">
        <v>0</v>
      </c>
      <c r="E197" s="551">
        <v>0</v>
      </c>
    </row>
    <row r="198" spans="1:5" ht="12.75">
      <c r="A198" s="523"/>
      <c r="B198" s="524">
        <v>2355</v>
      </c>
      <c r="C198" s="523" t="s">
        <v>1113</v>
      </c>
      <c r="D198" s="557">
        <v>56994</v>
      </c>
      <c r="E198" s="557">
        <v>56994</v>
      </c>
    </row>
    <row r="199" spans="1:5" ht="12.75" hidden="1">
      <c r="A199" s="512">
        <v>36</v>
      </c>
      <c r="B199" s="525">
        <v>236</v>
      </c>
      <c r="C199" s="512" t="s">
        <v>1114</v>
      </c>
      <c r="D199" s="556">
        <v>0</v>
      </c>
      <c r="E199" s="556">
        <v>0</v>
      </c>
    </row>
    <row r="200" spans="1:5" ht="12.75" hidden="1">
      <c r="A200" s="523"/>
      <c r="B200" s="524">
        <v>236101</v>
      </c>
      <c r="C200" s="523" t="s">
        <v>1115</v>
      </c>
      <c r="D200" s="557">
        <v>0</v>
      </c>
      <c r="E200" s="557">
        <v>0</v>
      </c>
    </row>
    <row r="201" spans="1:5" ht="12.75" hidden="1">
      <c r="A201" s="523"/>
      <c r="B201" s="524">
        <v>236202</v>
      </c>
      <c r="C201" s="523" t="s">
        <v>1116</v>
      </c>
      <c r="D201" s="557">
        <v>0</v>
      </c>
      <c r="E201" s="557">
        <v>0</v>
      </c>
    </row>
    <row r="202" spans="1:5" ht="12.75" hidden="1">
      <c r="A202" s="523"/>
      <c r="B202" s="524">
        <v>236303</v>
      </c>
      <c r="C202" s="523" t="s">
        <v>1117</v>
      </c>
      <c r="D202" s="557">
        <v>0</v>
      </c>
      <c r="E202" s="557">
        <v>0</v>
      </c>
    </row>
    <row r="203" spans="1:5" ht="12.75" hidden="1">
      <c r="A203" s="523"/>
      <c r="B203" s="524">
        <v>236304</v>
      </c>
      <c r="C203" s="520" t="s">
        <v>1118</v>
      </c>
      <c r="D203" s="565">
        <v>0</v>
      </c>
      <c r="E203" s="565">
        <v>0</v>
      </c>
    </row>
    <row r="204" spans="1:5" ht="12.75" hidden="1">
      <c r="A204" s="523"/>
      <c r="B204" s="524">
        <v>236105</v>
      </c>
      <c r="C204" s="523" t="s">
        <v>1119</v>
      </c>
      <c r="D204" s="551">
        <v>0</v>
      </c>
      <c r="E204" s="551">
        <v>0</v>
      </c>
    </row>
    <row r="205" spans="1:5" ht="12.75" hidden="1">
      <c r="A205" s="523"/>
      <c r="B205" s="524">
        <v>236306</v>
      </c>
      <c r="C205" s="523" t="s">
        <v>1120</v>
      </c>
      <c r="D205" s="557">
        <v>0</v>
      </c>
      <c r="E205" s="557">
        <v>0</v>
      </c>
    </row>
    <row r="206" spans="1:5" ht="12.75" hidden="1">
      <c r="A206" s="523"/>
      <c r="B206" s="524">
        <v>2364</v>
      </c>
      <c r="C206" s="523" t="s">
        <v>1121</v>
      </c>
      <c r="D206" s="557">
        <v>0</v>
      </c>
      <c r="E206" s="557">
        <v>0</v>
      </c>
    </row>
    <row r="207" spans="1:5" ht="12.75">
      <c r="A207" s="512">
        <v>37</v>
      </c>
      <c r="B207" s="525">
        <v>2371</v>
      </c>
      <c r="C207" s="512" t="s">
        <v>164</v>
      </c>
      <c r="D207" s="556">
        <v>1482950</v>
      </c>
      <c r="E207" s="556">
        <v>1482950</v>
      </c>
    </row>
    <row r="208" spans="1:5" ht="12.75">
      <c r="A208" s="523"/>
      <c r="B208" s="524">
        <v>237101</v>
      </c>
      <c r="C208" s="523" t="s">
        <v>1122</v>
      </c>
      <c r="D208" s="551">
        <v>1365000</v>
      </c>
      <c r="E208" s="551">
        <v>1365000</v>
      </c>
    </row>
    <row r="209" spans="1:5" ht="12.75">
      <c r="A209" s="523"/>
      <c r="B209" s="524">
        <v>237102</v>
      </c>
      <c r="C209" s="523" t="s">
        <v>1123</v>
      </c>
      <c r="D209" s="557">
        <v>117950</v>
      </c>
      <c r="E209" s="557">
        <v>117950</v>
      </c>
    </row>
    <row r="210" spans="1:5" ht="12.75" hidden="1">
      <c r="A210" s="523"/>
      <c r="B210" s="524">
        <v>237104</v>
      </c>
      <c r="C210" s="523" t="s">
        <v>1124</v>
      </c>
      <c r="D210" s="557"/>
      <c r="E210" s="557"/>
    </row>
    <row r="211" spans="1:5" ht="12.75" hidden="1">
      <c r="A211" s="523"/>
      <c r="B211" s="524">
        <v>237105</v>
      </c>
      <c r="C211" s="523" t="s">
        <v>1125</v>
      </c>
      <c r="D211" s="557">
        <v>0</v>
      </c>
      <c r="E211" s="557">
        <v>0</v>
      </c>
    </row>
    <row r="212" spans="1:5" ht="12.75">
      <c r="A212" s="512"/>
      <c r="B212" s="512">
        <v>2372</v>
      </c>
      <c r="C212" s="512" t="s">
        <v>1126</v>
      </c>
      <c r="D212" s="553">
        <v>18408</v>
      </c>
      <c r="E212" s="553">
        <v>18408</v>
      </c>
    </row>
    <row r="213" spans="1:5" ht="12.75">
      <c r="A213" s="523"/>
      <c r="B213" s="524">
        <v>237203</v>
      </c>
      <c r="C213" s="523" t="s">
        <v>1127</v>
      </c>
      <c r="D213" s="551">
        <v>14868</v>
      </c>
      <c r="E213" s="551">
        <v>14868</v>
      </c>
    </row>
    <row r="214" spans="1:5" ht="12.75" hidden="1">
      <c r="A214" s="523"/>
      <c r="B214" s="524">
        <v>237204</v>
      </c>
      <c r="C214" s="523" t="s">
        <v>1128</v>
      </c>
      <c r="D214" s="551">
        <v>0</v>
      </c>
      <c r="E214" s="551">
        <v>0</v>
      </c>
    </row>
    <row r="215" spans="1:5" ht="12.75">
      <c r="A215" s="523"/>
      <c r="B215" s="524">
        <v>237205</v>
      </c>
      <c r="C215" s="523" t="s">
        <v>1185</v>
      </c>
      <c r="D215" s="551">
        <v>3540</v>
      </c>
      <c r="E215" s="551">
        <v>3540</v>
      </c>
    </row>
    <row r="216" spans="1:5" ht="12.75" hidden="1">
      <c r="A216" s="523"/>
      <c r="B216" s="524">
        <v>237206</v>
      </c>
      <c r="C216" s="523" t="s">
        <v>1129</v>
      </c>
      <c r="D216" s="551">
        <v>0</v>
      </c>
      <c r="E216" s="551">
        <v>0</v>
      </c>
    </row>
    <row r="217" spans="1:5" ht="12.75">
      <c r="A217" s="512">
        <v>39</v>
      </c>
      <c r="B217" s="525">
        <v>239</v>
      </c>
      <c r="C217" s="512" t="s">
        <v>383</v>
      </c>
      <c r="D217" s="553">
        <v>227889.55000000002</v>
      </c>
      <c r="E217" s="553">
        <v>227889.55000000002</v>
      </c>
    </row>
    <row r="218" spans="1:5" ht="12.75">
      <c r="A218" s="523"/>
      <c r="B218" s="524">
        <v>2391</v>
      </c>
      <c r="C218" s="523" t="s">
        <v>384</v>
      </c>
      <c r="D218" s="557">
        <v>18023.94</v>
      </c>
      <c r="E218" s="557">
        <v>18023.94</v>
      </c>
    </row>
    <row r="219" spans="1:5" ht="12.75">
      <c r="A219" s="523"/>
      <c r="B219" s="524">
        <v>2392</v>
      </c>
      <c r="C219" s="523" t="s">
        <v>1130</v>
      </c>
      <c r="D219" s="557">
        <v>137884.87</v>
      </c>
      <c r="E219" s="557">
        <v>137884.87</v>
      </c>
    </row>
    <row r="220" spans="1:5" ht="12.75" hidden="1">
      <c r="A220" s="523"/>
      <c r="B220" s="534">
        <v>2393</v>
      </c>
      <c r="C220" s="523" t="s">
        <v>1131</v>
      </c>
      <c r="D220" s="557"/>
      <c r="E220" s="557"/>
    </row>
    <row r="221" spans="1:5" ht="12.75" hidden="1">
      <c r="A221" s="523"/>
      <c r="B221" s="534">
        <v>2394</v>
      </c>
      <c r="C221" s="523" t="s">
        <v>1132</v>
      </c>
      <c r="D221" s="557"/>
      <c r="E221" s="557"/>
    </row>
    <row r="222" spans="1:5" ht="12.75">
      <c r="A222" s="523"/>
      <c r="B222" s="524">
        <v>2395</v>
      </c>
      <c r="C222" s="523" t="s">
        <v>387</v>
      </c>
      <c r="D222" s="557">
        <v>54156.5</v>
      </c>
      <c r="E222" s="557">
        <v>54156.5</v>
      </c>
    </row>
    <row r="223" spans="1:5" ht="12.75">
      <c r="A223" s="523"/>
      <c r="B223" s="524">
        <v>2396</v>
      </c>
      <c r="C223" s="523" t="s">
        <v>385</v>
      </c>
      <c r="D223" s="557">
        <v>13990.67</v>
      </c>
      <c r="E223" s="557">
        <v>13990.67</v>
      </c>
    </row>
    <row r="224" spans="1:5" ht="12.75" hidden="1">
      <c r="A224" s="523"/>
      <c r="B224" s="524">
        <v>2398</v>
      </c>
      <c r="C224" s="523" t="s">
        <v>1133</v>
      </c>
      <c r="D224" s="557">
        <v>0</v>
      </c>
      <c r="E224" s="557">
        <v>0</v>
      </c>
    </row>
    <row r="225" spans="1:5" ht="12.75">
      <c r="A225" s="523"/>
      <c r="B225" s="524">
        <v>2399</v>
      </c>
      <c r="C225" s="523" t="s">
        <v>1134</v>
      </c>
      <c r="D225" s="557">
        <v>3833.57</v>
      </c>
      <c r="E225" s="557">
        <v>3833.57</v>
      </c>
    </row>
    <row r="226" spans="1:5" ht="12.75" hidden="1">
      <c r="A226" s="523"/>
      <c r="B226" s="524"/>
      <c r="C226" s="512" t="s">
        <v>195</v>
      </c>
      <c r="D226" s="551"/>
      <c r="E226" s="551"/>
    </row>
    <row r="227" spans="1:5" ht="12.75" hidden="1">
      <c r="A227" s="523"/>
      <c r="B227" s="524"/>
      <c r="C227" s="523" t="s">
        <v>386</v>
      </c>
      <c r="D227" s="551"/>
      <c r="E227" s="551"/>
    </row>
    <row r="228" spans="1:5" ht="12.75" hidden="1">
      <c r="A228" s="523"/>
      <c r="B228" s="524"/>
      <c r="C228" s="512" t="s">
        <v>184</v>
      </c>
      <c r="D228" s="551"/>
      <c r="E228" s="551"/>
    </row>
    <row r="229" spans="1:5" ht="12.75" hidden="1">
      <c r="A229" s="523"/>
      <c r="B229" s="524"/>
      <c r="C229" s="523" t="s">
        <v>158</v>
      </c>
      <c r="D229" s="551"/>
      <c r="E229" s="551"/>
    </row>
    <row r="230" spans="1:5" ht="12.75">
      <c r="A230" s="523"/>
      <c r="B230" s="524"/>
      <c r="C230" s="527"/>
      <c r="D230" s="551"/>
      <c r="E230" s="551"/>
    </row>
    <row r="231" spans="1:5" ht="12.75">
      <c r="A231" s="530"/>
      <c r="B231" s="531">
        <v>24</v>
      </c>
      <c r="C231" s="530" t="s">
        <v>19</v>
      </c>
      <c r="D231" s="447">
        <v>2694833.7600000002</v>
      </c>
      <c r="E231" s="447">
        <v>2694833.7600000002</v>
      </c>
    </row>
    <row r="232" spans="1:5" ht="12.75">
      <c r="A232" s="523">
        <v>41</v>
      </c>
      <c r="B232" s="524">
        <v>2412</v>
      </c>
      <c r="C232" s="512" t="s">
        <v>123</v>
      </c>
      <c r="D232" s="553">
        <v>358036.31</v>
      </c>
      <c r="E232" s="553">
        <v>358036.31</v>
      </c>
    </row>
    <row r="233" spans="1:5" ht="12.75">
      <c r="A233" s="523"/>
      <c r="B233" s="524">
        <v>241201</v>
      </c>
      <c r="C233" s="523" t="s">
        <v>1135</v>
      </c>
      <c r="D233" s="551">
        <v>25000</v>
      </c>
      <c r="E233" s="551">
        <v>25000</v>
      </c>
    </row>
    <row r="234" spans="1:5" ht="12.75" hidden="1">
      <c r="A234" s="523"/>
      <c r="B234" s="524"/>
      <c r="C234" s="523" t="s">
        <v>1136</v>
      </c>
      <c r="D234" s="551"/>
      <c r="E234" s="551"/>
    </row>
    <row r="235" spans="1:5" ht="12.75">
      <c r="A235" s="523"/>
      <c r="B235" s="524">
        <v>241202</v>
      </c>
      <c r="C235" s="523" t="s">
        <v>1137</v>
      </c>
      <c r="D235" s="551">
        <v>333036.31</v>
      </c>
      <c r="E235" s="551">
        <v>333036.31</v>
      </c>
    </row>
    <row r="236" spans="1:5" ht="12.75" hidden="1">
      <c r="A236" s="523"/>
      <c r="B236" s="524"/>
      <c r="C236" s="523" t="s">
        <v>1138</v>
      </c>
      <c r="D236" s="551">
        <v>0</v>
      </c>
      <c r="E236" s="551">
        <v>0</v>
      </c>
    </row>
    <row r="237" spans="1:5" ht="12.75">
      <c r="A237" s="512"/>
      <c r="B237" s="525">
        <v>2414</v>
      </c>
      <c r="C237" s="512" t="s">
        <v>114</v>
      </c>
      <c r="D237" s="552">
        <v>101784</v>
      </c>
      <c r="E237" s="552">
        <v>101784</v>
      </c>
    </row>
    <row r="238" spans="1:5" ht="12.75" hidden="1">
      <c r="A238" s="523"/>
      <c r="B238" s="524">
        <v>2415</v>
      </c>
      <c r="C238" s="512" t="s">
        <v>358</v>
      </c>
      <c r="D238" s="551"/>
      <c r="E238" s="551"/>
    </row>
    <row r="239" spans="1:5" ht="12.75" hidden="1">
      <c r="A239" s="512"/>
      <c r="B239" s="525">
        <v>241604</v>
      </c>
      <c r="C239" s="512" t="s">
        <v>1139</v>
      </c>
      <c r="D239" s="552"/>
      <c r="E239" s="552"/>
    </row>
    <row r="240" spans="1:5" ht="12.75" hidden="1">
      <c r="A240" s="512"/>
      <c r="B240" s="525"/>
      <c r="C240" s="512" t="s">
        <v>608</v>
      </c>
      <c r="D240" s="552"/>
      <c r="E240" s="552"/>
    </row>
    <row r="241" spans="1:5" ht="12.75" hidden="1">
      <c r="A241" s="512">
        <v>42</v>
      </c>
      <c r="B241" s="525">
        <v>2421</v>
      </c>
      <c r="C241" s="512" t="s">
        <v>125</v>
      </c>
      <c r="D241" s="552"/>
      <c r="E241" s="552"/>
    </row>
    <row r="242" spans="1:5" ht="12.75" hidden="1">
      <c r="A242" s="512"/>
      <c r="B242" s="525"/>
      <c r="C242" s="512" t="s">
        <v>1140</v>
      </c>
      <c r="D242" s="552"/>
      <c r="E242" s="552"/>
    </row>
    <row r="243" spans="1:5" ht="12.75" hidden="1">
      <c r="A243" s="512"/>
      <c r="B243" s="525"/>
      <c r="C243" s="512" t="s">
        <v>414</v>
      </c>
      <c r="D243" s="552"/>
      <c r="E243" s="552"/>
    </row>
    <row r="244" spans="1:5" ht="12.75" hidden="1">
      <c r="A244" s="512"/>
      <c r="B244" s="525"/>
      <c r="C244" s="512" t="s">
        <v>1141</v>
      </c>
      <c r="D244" s="552"/>
      <c r="E244" s="552"/>
    </row>
    <row r="245" spans="1:5" ht="12.75" hidden="1">
      <c r="A245" s="512">
        <v>47</v>
      </c>
      <c r="B245" s="525">
        <v>247</v>
      </c>
      <c r="C245" s="512" t="s">
        <v>412</v>
      </c>
      <c r="D245" s="552"/>
      <c r="E245" s="552"/>
    </row>
    <row r="246" spans="1:5" ht="12.75" hidden="1">
      <c r="A246" s="512"/>
      <c r="B246" s="525"/>
      <c r="C246" s="523" t="s">
        <v>408</v>
      </c>
      <c r="D246" s="552"/>
      <c r="E246" s="552"/>
    </row>
    <row r="247" spans="1:5" ht="12.75">
      <c r="A247" s="523"/>
      <c r="B247" s="524">
        <v>2472</v>
      </c>
      <c r="C247" s="512" t="s">
        <v>126</v>
      </c>
      <c r="D247" s="553">
        <v>2235013.45</v>
      </c>
      <c r="E247" s="553">
        <v>2235013.45</v>
      </c>
    </row>
    <row r="248" spans="1:5" ht="12.75">
      <c r="A248" s="523"/>
      <c r="B248" s="524"/>
      <c r="C248" s="523" t="s">
        <v>227</v>
      </c>
      <c r="D248" s="557">
        <v>2235013.45</v>
      </c>
      <c r="E248" s="557">
        <v>2235013.45</v>
      </c>
    </row>
    <row r="249" spans="1:5" ht="12.75" hidden="1">
      <c r="A249" s="512"/>
      <c r="B249" s="525"/>
      <c r="C249" s="523" t="s">
        <v>274</v>
      </c>
      <c r="D249" s="552"/>
      <c r="E249" s="552"/>
    </row>
    <row r="250" spans="1:5" ht="12.75" hidden="1">
      <c r="A250" s="523"/>
      <c r="B250" s="524"/>
      <c r="C250" s="523" t="s">
        <v>344</v>
      </c>
      <c r="D250" s="551"/>
      <c r="E250" s="551"/>
    </row>
    <row r="251" spans="1:5" ht="12.75" hidden="1">
      <c r="A251" s="523"/>
      <c r="B251" s="524"/>
      <c r="C251" s="523" t="s">
        <v>275</v>
      </c>
      <c r="D251" s="551"/>
      <c r="E251" s="551"/>
    </row>
    <row r="252" spans="1:5" ht="12.75" hidden="1">
      <c r="A252" s="523"/>
      <c r="B252" s="524"/>
      <c r="C252" s="523" t="s">
        <v>616</v>
      </c>
      <c r="D252" s="551"/>
      <c r="E252" s="551"/>
    </row>
    <row r="253" spans="1:5" ht="12.75" hidden="1">
      <c r="A253" s="523"/>
      <c r="B253" s="524"/>
      <c r="C253" s="523" t="s">
        <v>276</v>
      </c>
      <c r="D253" s="551"/>
      <c r="E253" s="551"/>
    </row>
    <row r="254" spans="1:5" ht="12.75" hidden="1">
      <c r="A254" s="523"/>
      <c r="B254" s="524"/>
      <c r="C254" s="523" t="s">
        <v>345</v>
      </c>
      <c r="D254" s="551"/>
      <c r="E254" s="551"/>
    </row>
    <row r="255" spans="1:5" ht="12.75" hidden="1">
      <c r="A255" s="523"/>
      <c r="B255" s="524"/>
      <c r="C255" s="523" t="s">
        <v>346</v>
      </c>
      <c r="D255" s="551"/>
      <c r="E255" s="551"/>
    </row>
    <row r="256" spans="1:5" ht="12.75" hidden="1">
      <c r="A256" s="523"/>
      <c r="B256" s="524"/>
      <c r="C256" s="512" t="s">
        <v>185</v>
      </c>
      <c r="D256" s="551"/>
      <c r="E256" s="551"/>
    </row>
    <row r="257" spans="1:5" ht="12.75" hidden="1">
      <c r="A257" s="523"/>
      <c r="B257" s="524"/>
      <c r="C257" s="512" t="s">
        <v>173</v>
      </c>
      <c r="D257" s="551"/>
      <c r="E257" s="551"/>
    </row>
    <row r="258" spans="1:5" ht="12.75">
      <c r="A258" s="523"/>
      <c r="B258" s="524"/>
      <c r="C258" s="523"/>
      <c r="D258" s="551"/>
      <c r="E258" s="551"/>
    </row>
    <row r="259" spans="1:5" ht="12.75">
      <c r="A259" s="530"/>
      <c r="B259" s="531"/>
      <c r="C259" s="530" t="s">
        <v>129</v>
      </c>
      <c r="D259" s="555">
        <v>0</v>
      </c>
      <c r="E259" s="555">
        <v>0</v>
      </c>
    </row>
    <row r="260" spans="1:5" ht="12.75">
      <c r="A260" s="523"/>
      <c r="B260" s="524">
        <v>921</v>
      </c>
      <c r="C260" s="523" t="s">
        <v>132</v>
      </c>
      <c r="D260" s="551">
        <v>0</v>
      </c>
      <c r="E260" s="551">
        <v>0</v>
      </c>
    </row>
    <row r="261" spans="1:5" ht="12.75" hidden="1">
      <c r="A261" s="523"/>
      <c r="B261" s="524"/>
      <c r="C261" s="526" t="s">
        <v>1142</v>
      </c>
      <c r="D261" s="551"/>
      <c r="E261" s="551"/>
    </row>
    <row r="262" spans="1:5" ht="12.75" hidden="1">
      <c r="A262" s="523"/>
      <c r="B262" s="524"/>
      <c r="C262" s="523" t="s">
        <v>131</v>
      </c>
      <c r="D262" s="551"/>
      <c r="E262" s="551"/>
    </row>
    <row r="263" spans="1:5" ht="12.75">
      <c r="A263" s="523"/>
      <c r="B263" s="524"/>
      <c r="C263" s="523"/>
      <c r="D263" s="551"/>
      <c r="E263" s="551"/>
    </row>
    <row r="264" spans="1:5" ht="12.75">
      <c r="A264" s="130"/>
      <c r="B264" s="529"/>
      <c r="C264" s="530" t="s">
        <v>20</v>
      </c>
      <c r="D264" s="447">
        <v>103683961.57999998</v>
      </c>
      <c r="E264" s="447">
        <v>102299662.23</v>
      </c>
    </row>
    <row r="265" spans="1:5" ht="12.75">
      <c r="A265" s="523"/>
      <c r="B265" s="524"/>
      <c r="C265" s="532"/>
      <c r="D265" s="551"/>
      <c r="E265" s="551"/>
    </row>
    <row r="266" spans="1:5" ht="12.75">
      <c r="A266" s="523"/>
      <c r="B266" s="524"/>
      <c r="C266" s="512" t="s">
        <v>42</v>
      </c>
      <c r="D266" s="553">
        <v>7100881.41</v>
      </c>
      <c r="E266" s="553">
        <v>7100881.41</v>
      </c>
    </row>
    <row r="267" spans="1:5" ht="12.75">
      <c r="A267" s="512"/>
      <c r="B267" s="525"/>
      <c r="C267" s="527" t="s">
        <v>1143</v>
      </c>
      <c r="D267" s="516">
        <v>6683451.36</v>
      </c>
      <c r="E267" s="516">
        <v>6683451.36</v>
      </c>
    </row>
    <row r="268" spans="1:5" ht="12.75">
      <c r="A268" s="523"/>
      <c r="B268" s="524"/>
      <c r="C268" s="527" t="s">
        <v>145</v>
      </c>
      <c r="D268" s="516">
        <v>417430.05</v>
      </c>
      <c r="E268" s="516">
        <v>417430.05</v>
      </c>
    </row>
    <row r="269" spans="1:5" ht="12.75">
      <c r="A269" s="512"/>
      <c r="B269" s="525"/>
      <c r="C269" s="532" t="s">
        <v>1144</v>
      </c>
      <c r="D269" s="553">
        <v>301.6</v>
      </c>
      <c r="E269" s="553">
        <v>301.6</v>
      </c>
    </row>
    <row r="270" spans="1:5" ht="12.75">
      <c r="A270" s="523"/>
      <c r="B270" s="524"/>
      <c r="C270" s="523"/>
      <c r="D270" s="551"/>
      <c r="E270" s="551"/>
    </row>
    <row r="271" spans="1:5" ht="12.75">
      <c r="A271" s="424"/>
      <c r="B271" s="535"/>
      <c r="C271" s="457" t="s">
        <v>20</v>
      </c>
      <c r="D271" s="447">
        <v>110785144.58999997</v>
      </c>
      <c r="E271" s="447">
        <v>109400845.24</v>
      </c>
    </row>
    <row r="272" spans="1:5" ht="12.75">
      <c r="A272" s="523"/>
      <c r="B272" s="524"/>
      <c r="C272" s="523"/>
      <c r="D272" s="551"/>
      <c r="E272" s="551"/>
    </row>
    <row r="273" spans="1:5" ht="12.75">
      <c r="A273" s="530"/>
      <c r="B273" s="531">
        <v>2531</v>
      </c>
      <c r="C273" s="357" t="s">
        <v>391</v>
      </c>
      <c r="D273" s="447">
        <v>159500</v>
      </c>
      <c r="E273" s="447">
        <v>159500</v>
      </c>
    </row>
    <row r="274" spans="1:5" ht="12.75" hidden="1">
      <c r="A274" s="530"/>
      <c r="B274" s="531">
        <v>2531</v>
      </c>
      <c r="C274" s="357" t="s">
        <v>1145</v>
      </c>
      <c r="D274" s="555"/>
      <c r="E274" s="555"/>
    </row>
    <row r="275" spans="1:5" ht="12.75">
      <c r="A275" s="512"/>
      <c r="B275" s="525"/>
      <c r="C275" s="536" t="s">
        <v>1146</v>
      </c>
      <c r="D275" s="566">
        <v>149000</v>
      </c>
      <c r="E275" s="566">
        <v>149000</v>
      </c>
    </row>
    <row r="276" spans="1:5" ht="12.75">
      <c r="A276" s="532"/>
      <c r="B276" s="537"/>
      <c r="C276" s="538" t="s">
        <v>1147</v>
      </c>
      <c r="D276" s="564">
        <v>149000</v>
      </c>
      <c r="E276" s="564">
        <v>149000</v>
      </c>
    </row>
    <row r="277" spans="1:5" ht="12.75" hidden="1">
      <c r="A277" s="527"/>
      <c r="B277" s="539"/>
      <c r="C277" s="538" t="s">
        <v>1148</v>
      </c>
      <c r="D277" s="564"/>
      <c r="E277" s="564"/>
    </row>
    <row r="278" spans="1:5" ht="12.75" hidden="1">
      <c r="A278" s="527"/>
      <c r="B278" s="539"/>
      <c r="C278" s="538" t="s">
        <v>1149</v>
      </c>
      <c r="D278" s="564"/>
      <c r="E278" s="564"/>
    </row>
    <row r="279" spans="1:5" ht="12.75" hidden="1">
      <c r="A279" s="527"/>
      <c r="B279" s="539"/>
      <c r="C279" s="538" t="s">
        <v>1150</v>
      </c>
      <c r="D279" s="564"/>
      <c r="E279" s="564"/>
    </row>
    <row r="280" spans="1:5" ht="12.75">
      <c r="A280" s="532"/>
      <c r="B280" s="537"/>
      <c r="C280" s="536" t="s">
        <v>1151</v>
      </c>
      <c r="D280" s="560">
        <v>10500</v>
      </c>
      <c r="E280" s="560">
        <v>10500</v>
      </c>
    </row>
    <row r="281" spans="1:5" ht="12.75">
      <c r="A281" s="532"/>
      <c r="B281" s="537"/>
      <c r="C281" s="538" t="s">
        <v>1152</v>
      </c>
      <c r="D281" s="564">
        <v>10500</v>
      </c>
      <c r="E281" s="564">
        <v>10500</v>
      </c>
    </row>
    <row r="282" spans="1:5" ht="12.75" hidden="1">
      <c r="A282" s="527"/>
      <c r="B282" s="539"/>
      <c r="C282" s="540" t="s">
        <v>1153</v>
      </c>
      <c r="D282" s="564"/>
      <c r="E282" s="564"/>
    </row>
    <row r="283" spans="1:5" ht="12.75" hidden="1">
      <c r="A283" s="512"/>
      <c r="B283" s="525"/>
      <c r="C283" s="541" t="s">
        <v>1154</v>
      </c>
      <c r="D283" s="516"/>
      <c r="E283" s="516"/>
    </row>
    <row r="284" spans="1:5" ht="12.75" hidden="1">
      <c r="A284" s="523"/>
      <c r="B284" s="524"/>
      <c r="C284" s="541" t="s">
        <v>1155</v>
      </c>
      <c r="D284" s="516"/>
      <c r="E284" s="516"/>
    </row>
    <row r="285" spans="1:5" ht="12.75" hidden="1">
      <c r="A285" s="523"/>
      <c r="B285" s="524"/>
      <c r="C285" s="541" t="s">
        <v>1156</v>
      </c>
      <c r="D285" s="516"/>
      <c r="E285" s="516"/>
    </row>
    <row r="286" spans="1:5" ht="12.75" hidden="1">
      <c r="A286" s="523"/>
      <c r="B286" s="524"/>
      <c r="C286" s="541" t="s">
        <v>1157</v>
      </c>
      <c r="D286" s="516"/>
      <c r="E286" s="516"/>
    </row>
    <row r="287" spans="1:5" ht="12.75" hidden="1">
      <c r="A287" s="523"/>
      <c r="B287" s="524"/>
      <c r="C287" s="542" t="s">
        <v>1158</v>
      </c>
      <c r="D287" s="516"/>
      <c r="E287" s="516"/>
    </row>
    <row r="288" spans="1:5" ht="24" hidden="1">
      <c r="A288" s="512"/>
      <c r="B288" s="525"/>
      <c r="C288" s="541" t="s">
        <v>1159</v>
      </c>
      <c r="D288" s="516"/>
      <c r="E288" s="516"/>
    </row>
    <row r="289" spans="1:5" ht="12.75" hidden="1">
      <c r="A289" s="523"/>
      <c r="B289" s="524"/>
      <c r="C289" s="541" t="s">
        <v>1160</v>
      </c>
      <c r="D289" s="516"/>
      <c r="E289" s="516"/>
    </row>
    <row r="290" spans="1:5" ht="12.75" hidden="1">
      <c r="A290" s="523"/>
      <c r="B290" s="524"/>
      <c r="C290" s="541" t="s">
        <v>1161</v>
      </c>
      <c r="D290" s="516"/>
      <c r="E290" s="516"/>
    </row>
    <row r="291" spans="1:5" ht="12.75" hidden="1">
      <c r="A291" s="523"/>
      <c r="B291" s="524"/>
      <c r="C291" s="541" t="s">
        <v>1162</v>
      </c>
      <c r="D291" s="516"/>
      <c r="E291" s="516"/>
    </row>
    <row r="292" spans="1:5" ht="12.75" hidden="1">
      <c r="A292" s="523"/>
      <c r="B292" s="524"/>
      <c r="C292" s="541" t="s">
        <v>1156</v>
      </c>
      <c r="D292" s="516"/>
      <c r="E292" s="516"/>
    </row>
    <row r="293" spans="1:5" ht="12.75" hidden="1">
      <c r="A293" s="523"/>
      <c r="B293" s="524"/>
      <c r="C293" s="541" t="s">
        <v>1163</v>
      </c>
      <c r="D293" s="516"/>
      <c r="E293" s="516"/>
    </row>
    <row r="294" spans="1:5" ht="12.75" hidden="1">
      <c r="A294" s="523"/>
      <c r="B294" s="524"/>
      <c r="C294" s="541" t="s">
        <v>1164</v>
      </c>
      <c r="D294" s="516"/>
      <c r="E294" s="516"/>
    </row>
    <row r="295" spans="1:5" ht="12.75" hidden="1">
      <c r="A295" s="523"/>
      <c r="B295" s="524"/>
      <c r="C295" s="541" t="s">
        <v>1165</v>
      </c>
      <c r="D295" s="516"/>
      <c r="E295" s="516"/>
    </row>
    <row r="296" spans="1:5" ht="12.75" hidden="1">
      <c r="A296" s="523"/>
      <c r="B296" s="524"/>
      <c r="C296" s="542" t="s">
        <v>1166</v>
      </c>
      <c r="D296" s="516"/>
      <c r="E296" s="516"/>
    </row>
    <row r="297" spans="1:5" ht="12.75" hidden="1">
      <c r="A297" s="523"/>
      <c r="B297" s="524"/>
      <c r="C297" s="542" t="s">
        <v>1167</v>
      </c>
      <c r="D297" s="516"/>
      <c r="E297" s="516"/>
    </row>
    <row r="298" spans="1:5" ht="12.75" hidden="1">
      <c r="A298" s="523"/>
      <c r="B298" s="524"/>
      <c r="C298" s="541" t="s">
        <v>1168</v>
      </c>
      <c r="D298" s="516"/>
      <c r="E298" s="516"/>
    </row>
    <row r="299" spans="1:5" ht="12.75" hidden="1">
      <c r="A299" s="512"/>
      <c r="B299" s="525"/>
      <c r="C299" s="542" t="s">
        <v>1169</v>
      </c>
      <c r="D299" s="516"/>
      <c r="E299" s="516"/>
    </row>
    <row r="300" spans="1:5" ht="12.75">
      <c r="A300" s="130"/>
      <c r="B300" s="531">
        <v>26</v>
      </c>
      <c r="C300" s="530" t="s">
        <v>59</v>
      </c>
      <c r="D300" s="447">
        <v>1044416</v>
      </c>
      <c r="E300" s="447">
        <v>1044416</v>
      </c>
    </row>
    <row r="301" spans="1:5" ht="12.75">
      <c r="A301" s="502"/>
      <c r="B301" s="543">
        <v>614</v>
      </c>
      <c r="C301" s="503" t="s">
        <v>1170</v>
      </c>
      <c r="D301" s="557">
        <v>513904</v>
      </c>
      <c r="E301" s="557">
        <v>513904</v>
      </c>
    </row>
    <row r="302" spans="1:5" ht="12.75">
      <c r="A302" s="523"/>
      <c r="B302" s="524"/>
      <c r="C302" s="513" t="s">
        <v>61</v>
      </c>
      <c r="D302" s="551">
        <v>429275.6</v>
      </c>
      <c r="E302" s="551">
        <v>429275.6</v>
      </c>
    </row>
    <row r="303" spans="1:5" ht="12.75" hidden="1">
      <c r="A303" s="523"/>
      <c r="B303" s="524"/>
      <c r="C303" s="513" t="s">
        <v>278</v>
      </c>
      <c r="D303" s="551"/>
      <c r="E303" s="551"/>
    </row>
    <row r="304" spans="1:5" ht="12.75">
      <c r="A304" s="523"/>
      <c r="B304" s="524"/>
      <c r="C304" s="513" t="s">
        <v>62</v>
      </c>
      <c r="D304" s="516">
        <v>22080.4</v>
      </c>
      <c r="E304" s="516">
        <v>22080.4</v>
      </c>
    </row>
    <row r="305" spans="1:5" ht="12.75" hidden="1">
      <c r="A305" s="523"/>
      <c r="B305" s="524"/>
      <c r="C305" s="513" t="s">
        <v>347</v>
      </c>
      <c r="D305" s="551"/>
      <c r="E305" s="551"/>
    </row>
    <row r="306" spans="1:5" ht="12.75" hidden="1">
      <c r="A306" s="523"/>
      <c r="B306" s="524"/>
      <c r="C306" s="513" t="s">
        <v>233</v>
      </c>
      <c r="D306" s="551"/>
      <c r="E306" s="551"/>
    </row>
    <row r="307" spans="1:5" ht="12.75" hidden="1">
      <c r="A307" s="523"/>
      <c r="B307" s="524"/>
      <c r="C307" s="513" t="s">
        <v>1171</v>
      </c>
      <c r="D307" s="551"/>
      <c r="E307" s="551"/>
    </row>
    <row r="308" spans="1:5" ht="12.75" hidden="1">
      <c r="A308" s="523"/>
      <c r="B308" s="524"/>
      <c r="C308" s="513" t="s">
        <v>1172</v>
      </c>
      <c r="D308" s="551"/>
      <c r="E308" s="551"/>
    </row>
    <row r="309" spans="1:5" ht="12.75" hidden="1">
      <c r="A309" s="523"/>
      <c r="B309" s="524"/>
      <c r="C309" s="513" t="s">
        <v>1173</v>
      </c>
      <c r="D309" s="551"/>
      <c r="E309" s="551"/>
    </row>
    <row r="310" spans="1:5" ht="12.75">
      <c r="A310" s="512"/>
      <c r="B310" s="525"/>
      <c r="C310" s="513" t="s">
        <v>199</v>
      </c>
      <c r="D310" s="557">
        <v>79156</v>
      </c>
      <c r="E310" s="557">
        <v>79156</v>
      </c>
    </row>
    <row r="311" spans="1:5" ht="12.75" hidden="1">
      <c r="A311" s="512"/>
      <c r="B311" s="525"/>
      <c r="C311" s="513" t="s">
        <v>1174</v>
      </c>
      <c r="D311" s="557"/>
      <c r="E311" s="557"/>
    </row>
    <row r="312" spans="1:5" ht="12.75">
      <c r="A312" s="523"/>
      <c r="B312" s="524"/>
      <c r="C312" s="544"/>
      <c r="D312" s="557"/>
      <c r="E312" s="557"/>
    </row>
    <row r="313" spans="1:5" ht="12.75">
      <c r="A313" s="130"/>
      <c r="B313" s="529"/>
      <c r="C313" s="545" t="s">
        <v>1175</v>
      </c>
      <c r="D313" s="447">
        <v>104887877.57999998</v>
      </c>
      <c r="E313" s="447">
        <v>103503578.23</v>
      </c>
    </row>
    <row r="314" spans="1:5" ht="12.75">
      <c r="A314" s="355"/>
      <c r="B314" s="355"/>
      <c r="C314" s="523"/>
      <c r="D314" s="551"/>
      <c r="E314" s="551"/>
    </row>
    <row r="315" spans="1:5" ht="12.75">
      <c r="A315" s="306"/>
      <c r="B315" s="306"/>
      <c r="C315" s="546" t="s">
        <v>1176</v>
      </c>
      <c r="D315" s="551"/>
      <c r="E315" s="551"/>
    </row>
    <row r="316" spans="1:5" ht="12.75">
      <c r="A316" s="306"/>
      <c r="B316" s="306"/>
      <c r="C316" s="546" t="s">
        <v>1177</v>
      </c>
      <c r="D316" s="551">
        <v>65408088.19000006</v>
      </c>
      <c r="E316" s="551">
        <v>66792387.54000001</v>
      </c>
    </row>
    <row r="317" spans="1:5" ht="12.75">
      <c r="A317" s="306"/>
      <c r="B317" s="306"/>
      <c r="C317" s="546" t="s">
        <v>1178</v>
      </c>
      <c r="D317" s="551"/>
      <c r="E317" s="551"/>
    </row>
    <row r="318" spans="1:5" ht="12.75">
      <c r="A318" s="306"/>
      <c r="B318" s="306"/>
      <c r="C318" s="546" t="s">
        <v>1179</v>
      </c>
      <c r="D318" s="551"/>
      <c r="E318" s="551"/>
    </row>
    <row r="319" spans="1:5" ht="12.75">
      <c r="A319" s="306"/>
      <c r="B319" s="306"/>
      <c r="C319" s="520"/>
      <c r="D319" s="551"/>
      <c r="E319" s="551"/>
    </row>
    <row r="320" spans="1:5" ht="12.75">
      <c r="A320" s="130"/>
      <c r="B320" s="130"/>
      <c r="C320" s="547" t="s">
        <v>1180</v>
      </c>
      <c r="D320" s="567">
        <v>170295965.77000004</v>
      </c>
      <c r="E320" s="567">
        <v>170295965.77</v>
      </c>
    </row>
  </sheetData>
  <sheetProtection/>
  <mergeCells count="7">
    <mergeCell ref="A6:E6"/>
    <mergeCell ref="A8:A9"/>
    <mergeCell ref="B8:B9"/>
    <mergeCell ref="C8:C9"/>
    <mergeCell ref="A2:E2"/>
    <mergeCell ref="A4:E4"/>
    <mergeCell ref="A5:E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AG101"/>
  <sheetViews>
    <sheetView zoomScalePageLayoutView="0" workbookViewId="0" topLeftCell="A13">
      <selection activeCell="B22" sqref="B22"/>
    </sheetView>
  </sheetViews>
  <sheetFormatPr defaultColWidth="11.421875" defaultRowHeight="12.75"/>
  <cols>
    <col min="1" max="1" width="33.28125" style="0" bestFit="1" customWidth="1"/>
    <col min="2" max="2" width="15.28125" style="0" bestFit="1" customWidth="1"/>
    <col min="3" max="3" width="11.28125" style="0" bestFit="1" customWidth="1"/>
    <col min="4" max="4" width="14.7109375" style="0" bestFit="1" customWidth="1"/>
    <col min="6" max="6" width="14.7109375" style="0" bestFit="1" customWidth="1"/>
    <col min="8" max="8" width="15.57421875" style="0" bestFit="1" customWidth="1"/>
    <col min="10" max="10" width="15.28125" style="0" bestFit="1" customWidth="1"/>
    <col min="11" max="11" width="11.7109375" style="0" bestFit="1" customWidth="1"/>
    <col min="12" max="12" width="14.7109375" style="0" bestFit="1" customWidth="1"/>
    <col min="13" max="13" width="12.28125" style="0" bestFit="1" customWidth="1"/>
    <col min="14" max="14" width="15.28125" style="0" bestFit="1" customWidth="1"/>
    <col min="15" max="15" width="10.8515625" style="0" bestFit="1" customWidth="1"/>
    <col min="16" max="16" width="15.28125" style="0" bestFit="1" customWidth="1"/>
    <col min="17" max="17" width="6.8515625" style="0" bestFit="1" customWidth="1"/>
    <col min="18" max="18" width="14.7109375" style="0" bestFit="1" customWidth="1"/>
    <col min="19" max="19" width="10.8515625" style="0" bestFit="1" customWidth="1"/>
    <col min="20" max="20" width="15.28125" style="0" bestFit="1" customWidth="1"/>
    <col min="21" max="21" width="10.8515625" style="0" bestFit="1" customWidth="1"/>
    <col min="22" max="22" width="15.28125" style="0" bestFit="1" customWidth="1"/>
    <col min="23" max="23" width="11.7109375" style="0" bestFit="1" customWidth="1"/>
    <col min="24" max="24" width="15.28125" style="0" bestFit="1" customWidth="1"/>
    <col min="25" max="25" width="10.8515625" style="0" bestFit="1" customWidth="1"/>
    <col min="26" max="26" width="15.28125" style="0" bestFit="1" customWidth="1"/>
    <col min="28" max="28" width="15.28125" style="0" bestFit="1" customWidth="1"/>
    <col min="30" max="30" width="15.8515625" style="0" bestFit="1" customWidth="1"/>
    <col min="32" max="32" width="15.8515625" style="0" bestFit="1" customWidth="1"/>
  </cols>
  <sheetData>
    <row r="4" spans="1:32" ht="12.75">
      <c r="A4" s="1"/>
      <c r="B4" s="569" t="s">
        <v>1186</v>
      </c>
      <c r="C4" s="570"/>
      <c r="D4" s="571" t="s">
        <v>1187</v>
      </c>
      <c r="F4" s="572" t="s">
        <v>27</v>
      </c>
      <c r="H4" s="573" t="s">
        <v>1188</v>
      </c>
      <c r="J4" s="572" t="s">
        <v>21</v>
      </c>
      <c r="K4" s="572"/>
      <c r="L4" s="574" t="s">
        <v>22</v>
      </c>
      <c r="N4" s="71" t="s">
        <v>1189</v>
      </c>
      <c r="O4" s="575"/>
      <c r="P4" s="576" t="s">
        <v>1190</v>
      </c>
      <c r="Q4" s="576"/>
      <c r="R4" s="577" t="s">
        <v>1191</v>
      </c>
      <c r="T4" s="578" t="s">
        <v>30</v>
      </c>
      <c r="V4" s="579" t="s">
        <v>1192</v>
      </c>
      <c r="X4" s="580" t="s">
        <v>31</v>
      </c>
      <c r="Y4" s="70"/>
      <c r="Z4" s="581" t="s">
        <v>47</v>
      </c>
      <c r="AA4" s="10"/>
      <c r="AB4" s="581" t="s">
        <v>51</v>
      </c>
      <c r="AD4" s="576" t="s">
        <v>1184</v>
      </c>
      <c r="AF4" s="576" t="s">
        <v>1184</v>
      </c>
    </row>
    <row r="5" spans="1:32" ht="12.75">
      <c r="A5" s="1" t="s">
        <v>1193</v>
      </c>
      <c r="B5" s="379">
        <v>262597605.88</v>
      </c>
      <c r="C5" s="570"/>
      <c r="D5" s="379">
        <f>B13</f>
        <v>218183605.9</v>
      </c>
      <c r="F5" s="582">
        <f>D13</f>
        <v>121182568.66000009</v>
      </c>
      <c r="H5" s="10">
        <f>B5</f>
        <v>262597605.88</v>
      </c>
      <c r="I5" s="10"/>
      <c r="J5" s="10">
        <f>F13</f>
        <v>142348571.24000016</v>
      </c>
      <c r="L5" s="582">
        <f>J13</f>
        <v>170502256.0800001</v>
      </c>
      <c r="N5" s="10">
        <f>'[8]Hoja6'!N5</f>
        <v>78794053.75000006</v>
      </c>
      <c r="O5" s="10"/>
      <c r="P5" s="10">
        <v>9003605.81</v>
      </c>
      <c r="Q5" s="10"/>
      <c r="R5" s="583">
        <v>11447753.959999979</v>
      </c>
      <c r="T5" s="10">
        <f>R13</f>
        <v>-11864074.939999998</v>
      </c>
      <c r="V5" s="10">
        <f>T13</f>
        <v>52409112.63999987</v>
      </c>
      <c r="X5" s="584">
        <f>V13</f>
        <v>281525209.79999995</v>
      </c>
      <c r="Z5" s="10">
        <f>X13</f>
        <v>204423140.41999993</v>
      </c>
      <c r="AA5" s="10"/>
      <c r="AB5" s="10">
        <f>Z13</f>
        <v>378210424.2700002</v>
      </c>
      <c r="AD5" s="10" t="e">
        <f>#REF!</f>
        <v>#REF!</v>
      </c>
      <c r="AF5" s="10" t="e">
        <f>AD5</f>
        <v>#REF!</v>
      </c>
    </row>
    <row r="6" spans="1:32" ht="12.75">
      <c r="A6" s="1"/>
      <c r="B6" s="379"/>
      <c r="C6" s="570"/>
      <c r="D6" s="379"/>
      <c r="F6" s="582"/>
      <c r="H6" s="10"/>
      <c r="L6" s="582"/>
      <c r="N6" s="10"/>
      <c r="O6" s="10"/>
      <c r="P6" s="10"/>
      <c r="Q6" s="10"/>
      <c r="R6" s="582"/>
      <c r="T6" s="10"/>
      <c r="X6" s="585"/>
      <c r="Z6" s="10"/>
      <c r="AA6" s="10"/>
      <c r="AB6" s="10"/>
      <c r="AD6" s="10"/>
      <c r="AF6" s="10"/>
    </row>
    <row r="7" spans="1:32" ht="12.75">
      <c r="A7" s="1" t="s">
        <v>1194</v>
      </c>
      <c r="B7" s="379">
        <f>Ejecución!E39</f>
        <v>125881965.79</v>
      </c>
      <c r="C7" s="570"/>
      <c r="D7" s="379">
        <f>'[7]Ejecución'!J35</f>
        <v>167191308.44</v>
      </c>
      <c r="F7" s="582">
        <f>'[7]Ejecución'!$Y$35</f>
        <v>182873562.04000008</v>
      </c>
      <c r="H7" s="10" t="e">
        <f>'[9]Ingresos'!#REF!</f>
        <v>#REF!</v>
      </c>
      <c r="I7" s="10"/>
      <c r="J7" s="10">
        <f>'[7]Ejecución'!AH35</f>
        <v>421223137.39</v>
      </c>
      <c r="L7" s="582">
        <f>'[8]Hoja6'!$L$7</f>
        <v>139069451.38</v>
      </c>
      <c r="N7" s="10">
        <f>'[8]Hoja6'!N7</f>
        <v>138093031.24999994</v>
      </c>
      <c r="O7" s="10"/>
      <c r="P7" s="10">
        <f>'[10]Ejecución'!$O$39</f>
        <v>1304857367.2</v>
      </c>
      <c r="Q7" s="10"/>
      <c r="R7" s="582">
        <f>'[7]Ejecución'!BI35</f>
        <v>152497309.88</v>
      </c>
      <c r="T7" s="10">
        <f>'[7]Ejecución'!BR35</f>
        <v>213231737.2099999</v>
      </c>
      <c r="V7" s="10">
        <f>'[7]Ejecución'!CA35</f>
        <v>369220795.57000005</v>
      </c>
      <c r="X7" s="584">
        <f>'[7]Ejecución'!CL35</f>
        <v>115594322.75999999</v>
      </c>
      <c r="Z7" s="10">
        <f>'[7]Ejecución'!CT35</f>
        <v>315067448.25000024</v>
      </c>
      <c r="AA7" s="10"/>
      <c r="AB7" s="10">
        <f>'[7]Ejecución'!DG35</f>
        <v>120132938.91999999</v>
      </c>
      <c r="AD7" s="10" t="e">
        <f>'[9]Ingresos'!#REF!</f>
        <v>#REF!</v>
      </c>
      <c r="AF7" s="10" t="e">
        <f>#REF!+#REF!+#REF!</f>
        <v>#REF!</v>
      </c>
    </row>
    <row r="8" spans="1:32" ht="12.75">
      <c r="A8" s="1"/>
      <c r="B8" s="379"/>
      <c r="C8" s="570"/>
      <c r="D8" s="379"/>
      <c r="F8" s="582"/>
      <c r="H8" s="10"/>
      <c r="L8" s="582"/>
      <c r="N8" s="10"/>
      <c r="O8" s="10"/>
      <c r="P8" s="10"/>
      <c r="Q8" s="10"/>
      <c r="R8" s="582"/>
      <c r="T8" s="10"/>
      <c r="X8" s="585"/>
      <c r="Z8" s="10"/>
      <c r="AA8" s="10"/>
      <c r="AB8" s="10"/>
      <c r="AD8" s="10"/>
      <c r="AF8" s="10"/>
    </row>
    <row r="9" spans="1:32" ht="12.75">
      <c r="A9" s="1" t="s">
        <v>1195</v>
      </c>
      <c r="B9" s="379">
        <f>+B5+B7</f>
        <v>388479571.67</v>
      </c>
      <c r="C9" s="570"/>
      <c r="D9" s="379">
        <f>+D5+D7</f>
        <v>385374914.34000003</v>
      </c>
      <c r="F9" s="379">
        <f>+F5+F7</f>
        <v>304056130.70000017</v>
      </c>
      <c r="H9" s="379" t="e">
        <f>+H5+H7</f>
        <v>#REF!</v>
      </c>
      <c r="I9" s="10"/>
      <c r="J9" s="379">
        <f>+J5+J7</f>
        <v>563571708.6300001</v>
      </c>
      <c r="L9" s="379">
        <f>+L5+L7</f>
        <v>309571707.4600001</v>
      </c>
      <c r="N9" s="10">
        <f>'[8]Hoja6'!N9</f>
        <v>216887085</v>
      </c>
      <c r="O9" s="10"/>
      <c r="P9" s="10">
        <f>P7+P5</f>
        <v>1313860973.01</v>
      </c>
      <c r="Q9" s="10"/>
      <c r="R9" s="582">
        <f>R7+R5</f>
        <v>163945063.83999997</v>
      </c>
      <c r="T9" s="582">
        <f>T7+T5</f>
        <v>201367662.2699999</v>
      </c>
      <c r="V9" s="582">
        <f>V7+V5</f>
        <v>421629908.2099999</v>
      </c>
      <c r="X9" s="586">
        <f>X7+X5</f>
        <v>397119532.55999994</v>
      </c>
      <c r="Z9" s="586">
        <f>Z7+Z5</f>
        <v>519490588.6700002</v>
      </c>
      <c r="AA9" s="10"/>
      <c r="AB9" s="379">
        <f>+AB5+AB7</f>
        <v>498343363.1900002</v>
      </c>
      <c r="AD9" s="379" t="e">
        <f>+AD5+AD7</f>
        <v>#REF!</v>
      </c>
      <c r="AF9" s="379" t="e">
        <f>+AF5+AF7</f>
        <v>#REF!</v>
      </c>
    </row>
    <row r="10" spans="1:32" ht="12.75">
      <c r="A10" s="1"/>
      <c r="B10" s="379"/>
      <c r="C10" s="570"/>
      <c r="D10" s="379"/>
      <c r="F10" s="582"/>
      <c r="H10" s="10"/>
      <c r="L10" s="582"/>
      <c r="N10" s="10"/>
      <c r="O10" s="10"/>
      <c r="P10" s="10"/>
      <c r="Q10" s="10"/>
      <c r="R10" s="582"/>
      <c r="T10" s="10"/>
      <c r="X10" s="585"/>
      <c r="Z10" s="10"/>
      <c r="AA10" s="10"/>
      <c r="AB10" s="10"/>
      <c r="AD10" s="10"/>
      <c r="AF10" s="10"/>
    </row>
    <row r="11" spans="1:33" ht="12.75">
      <c r="A11" s="1" t="s">
        <v>1196</v>
      </c>
      <c r="B11" s="379">
        <f>Ejecución!E320</f>
        <v>170295965.77</v>
      </c>
      <c r="C11" s="570"/>
      <c r="D11" s="379">
        <f>'[7]Ejecución'!$Q$568</f>
        <v>264192345.67999995</v>
      </c>
      <c r="F11" s="582">
        <f>'[7]Ejecución'!$Z$568</f>
        <v>161707559.46</v>
      </c>
      <c r="H11" s="10" t="e">
        <f>#REF!</f>
        <v>#REF!</v>
      </c>
      <c r="I11" s="10"/>
      <c r="J11" s="10">
        <f>'[7]Ejecución'!AI568</f>
        <v>393069452.55</v>
      </c>
      <c r="L11" s="582">
        <f>'[8]Hoja6'!$L$11</f>
        <v>136481981.62</v>
      </c>
      <c r="N11" s="582">
        <f>'[8]Hoja6'!N11</f>
        <v>206621927.6</v>
      </c>
      <c r="O11" s="10"/>
      <c r="P11" s="10">
        <f>'[10]Ejecución'!$O$1298</f>
        <v>1284283789.92</v>
      </c>
      <c r="Q11" s="10"/>
      <c r="R11" s="582">
        <f>'[7]Ejecución'!BJ568</f>
        <v>175809138.77999997</v>
      </c>
      <c r="T11" s="10">
        <f>'[7]Ejecución'!BS568</f>
        <v>148958549.63000003</v>
      </c>
      <c r="V11" s="10">
        <f>'[7]Ejecución'!CB568</f>
        <v>140104698.41</v>
      </c>
      <c r="X11" s="584">
        <f>'[7]Ejecución'!CL568</f>
        <v>192696392.14000002</v>
      </c>
      <c r="Z11" s="10">
        <f>'[7]Ejecución'!CT568</f>
        <v>141280164.39999998</v>
      </c>
      <c r="AA11" s="10"/>
      <c r="AB11" s="10">
        <f>'[7]Ejecución'!DG568</f>
        <v>235755037.31</v>
      </c>
      <c r="AD11" s="10">
        <f>'[9]Gasto'!AP656</f>
        <v>0</v>
      </c>
      <c r="AE11" s="10"/>
      <c r="AF11" s="10" t="e">
        <f>#REF!</f>
        <v>#REF!</v>
      </c>
      <c r="AG11" s="10"/>
    </row>
    <row r="12" spans="1:32" ht="12.75">
      <c r="A12" s="1"/>
      <c r="B12" s="379"/>
      <c r="C12" s="570"/>
      <c r="D12" s="379"/>
      <c r="F12" s="582"/>
      <c r="H12" s="10"/>
      <c r="J12" s="22" t="s">
        <v>569</v>
      </c>
      <c r="L12" s="582"/>
      <c r="N12" s="10"/>
      <c r="O12" s="10"/>
      <c r="P12" s="10"/>
      <c r="Q12" s="10"/>
      <c r="R12" s="582"/>
      <c r="T12" s="10"/>
      <c r="X12" s="585"/>
      <c r="Z12" s="10"/>
      <c r="AA12" s="10"/>
      <c r="AB12" s="10"/>
      <c r="AD12" s="10"/>
      <c r="AF12" s="10"/>
    </row>
    <row r="13" spans="1:33" ht="12.75">
      <c r="A13" s="1" t="s">
        <v>1197</v>
      </c>
      <c r="B13" s="379">
        <f>+B9-B11</f>
        <v>218183605.9</v>
      </c>
      <c r="C13" s="570"/>
      <c r="D13" s="379">
        <f>+D5+D7-D11</f>
        <v>121182568.66000009</v>
      </c>
      <c r="F13" s="379">
        <f>+F5+F7-F11</f>
        <v>142348571.24000016</v>
      </c>
      <c r="H13" s="379" t="e">
        <f>+H5+H7-H11</f>
        <v>#REF!</v>
      </c>
      <c r="I13" s="379"/>
      <c r="J13" s="379">
        <f>+J5+J7-J11</f>
        <v>170502256.0800001</v>
      </c>
      <c r="L13" s="379">
        <f>+L5+L7-L11</f>
        <v>173089725.8400001</v>
      </c>
      <c r="N13" s="379">
        <f>'[8]Hoja6'!N13</f>
        <v>10265157.400000006</v>
      </c>
      <c r="O13" s="10"/>
      <c r="P13" s="379">
        <f>P9-P11</f>
        <v>29577183.089999914</v>
      </c>
      <c r="Q13" s="379"/>
      <c r="R13" s="379">
        <f>R9-R11</f>
        <v>-11864074.939999998</v>
      </c>
      <c r="T13" s="379">
        <f>T9-T11</f>
        <v>52409112.63999987</v>
      </c>
      <c r="V13" s="379">
        <f>V9-V11</f>
        <v>281525209.79999995</v>
      </c>
      <c r="X13" s="587">
        <f>X9-X11</f>
        <v>204423140.41999993</v>
      </c>
      <c r="Z13" s="587">
        <f>Z9-Z11</f>
        <v>378210424.2700002</v>
      </c>
      <c r="AA13" s="10"/>
      <c r="AB13" s="379">
        <f>+AB9-AB11</f>
        <v>262588325.88000017</v>
      </c>
      <c r="AD13" s="379" t="e">
        <f>+AD9-AD11</f>
        <v>#REF!</v>
      </c>
      <c r="AE13" s="10"/>
      <c r="AF13" s="379" t="e">
        <f>+AF9-AF11</f>
        <v>#REF!</v>
      </c>
      <c r="AG13" s="10"/>
    </row>
    <row r="14" spans="1:32" ht="12.75">
      <c r="A14" s="1"/>
      <c r="B14" s="379"/>
      <c r="C14" s="570"/>
      <c r="D14" s="379"/>
      <c r="F14" s="582"/>
      <c r="H14" s="10"/>
      <c r="L14" s="582"/>
      <c r="N14" s="10"/>
      <c r="O14" s="10"/>
      <c r="P14" s="10"/>
      <c r="Q14" s="10"/>
      <c r="R14" s="582"/>
      <c r="T14" s="10"/>
      <c r="X14" s="585"/>
      <c r="Z14" s="10"/>
      <c r="AA14" s="10"/>
      <c r="AB14" s="10"/>
      <c r="AD14" s="10"/>
      <c r="AF14" s="10"/>
    </row>
    <row r="15" spans="1:32" ht="13.5" thickBot="1">
      <c r="A15" s="1" t="s">
        <v>1198</v>
      </c>
      <c r="B15" s="588">
        <f>+B13-B5</f>
        <v>-44413999.97999999</v>
      </c>
      <c r="C15" s="570"/>
      <c r="D15" s="588">
        <f>+D13-D5</f>
        <v>-97001037.23999992</v>
      </c>
      <c r="F15" s="588">
        <f>+F13-F5</f>
        <v>21166002.580000073</v>
      </c>
      <c r="H15" s="588" t="e">
        <f>+H13-H5</f>
        <v>#REF!</v>
      </c>
      <c r="I15" s="114"/>
      <c r="J15" s="588">
        <f>+J13-J5</f>
        <v>28153684.839999944</v>
      </c>
      <c r="L15" s="588">
        <f>+L13-L5</f>
        <v>2587469.7599999905</v>
      </c>
      <c r="N15" s="588">
        <f>'[8]Hoja6'!N15</f>
        <v>-68528896.35000005</v>
      </c>
      <c r="O15" s="10"/>
      <c r="P15" s="588">
        <f>P13-P5</f>
        <v>20573577.27999991</v>
      </c>
      <c r="Q15" s="588"/>
      <c r="R15" s="588">
        <f>+R13-R5</f>
        <v>-23311828.899999976</v>
      </c>
      <c r="T15" s="588">
        <f>+T13-T5</f>
        <v>64273187.579999864</v>
      </c>
      <c r="V15" s="588">
        <f>+V13-V5</f>
        <v>229116097.1600001</v>
      </c>
      <c r="X15" s="589">
        <f>+X13-X5</f>
        <v>-77102069.38000003</v>
      </c>
      <c r="Z15" s="589">
        <f>+Z13-Z5</f>
        <v>173787283.8500003</v>
      </c>
      <c r="AA15" s="10"/>
      <c r="AB15" s="588">
        <f>+AB13-AB5</f>
        <v>-115622098.39000005</v>
      </c>
      <c r="AD15" s="588" t="e">
        <f>+AD13-AD5</f>
        <v>#REF!</v>
      </c>
      <c r="AF15" s="588" t="e">
        <f>+AF13-AF5</f>
        <v>#REF!</v>
      </c>
    </row>
    <row r="16" spans="1:32" ht="13.5" thickTop="1">
      <c r="A16" s="1"/>
      <c r="B16" s="379">
        <v>-44413999.98</v>
      </c>
      <c r="C16" s="570"/>
      <c r="D16" s="590">
        <v>-97001037.24</v>
      </c>
      <c r="F16" s="582">
        <v>21166002.58</v>
      </c>
      <c r="H16" s="10">
        <v>-207405810.68</v>
      </c>
      <c r="I16" s="10"/>
      <c r="J16" s="10">
        <v>28153684.84</v>
      </c>
      <c r="L16" s="582">
        <v>3770066.32</v>
      </c>
      <c r="N16" s="10">
        <f>'[8]Hoja6'!N16</f>
        <v>-68528896.35</v>
      </c>
      <c r="O16" s="10"/>
      <c r="P16" s="10">
        <v>20573577.28</v>
      </c>
      <c r="Q16" s="10"/>
      <c r="R16" s="582">
        <v>-23311828.9</v>
      </c>
      <c r="T16" s="582">
        <v>64273187.58</v>
      </c>
      <c r="V16" s="10">
        <v>229116097.16</v>
      </c>
      <c r="X16" s="584">
        <v>-77102069.38</v>
      </c>
      <c r="Z16" s="10">
        <v>173787283.85</v>
      </c>
      <c r="AA16" s="10"/>
      <c r="AB16" s="10">
        <v>-115612818.39</v>
      </c>
      <c r="AD16" s="10">
        <v>85468564.93</v>
      </c>
      <c r="AF16" s="10">
        <v>18627937.8</v>
      </c>
    </row>
    <row r="17" spans="2:32" ht="12.75">
      <c r="B17" s="582">
        <f>B16-B15</f>
        <v>0</v>
      </c>
      <c r="C17" s="570"/>
      <c r="D17" s="582">
        <f>D16-D15</f>
        <v>0</v>
      </c>
      <c r="F17" s="582">
        <f>F16-F15</f>
        <v>-7.450580596923828E-08</v>
      </c>
      <c r="H17" s="582" t="e">
        <f>H16-H15</f>
        <v>#REF!</v>
      </c>
      <c r="I17" s="582"/>
      <c r="J17" s="582">
        <f>J16-J15</f>
        <v>5.587935447692871E-08</v>
      </c>
      <c r="L17" s="582">
        <f>L16-L15</f>
        <v>1182596.5600000094</v>
      </c>
      <c r="N17" s="582">
        <f>'[8]Hoja6'!N17</f>
        <v>0</v>
      </c>
      <c r="O17" s="10"/>
      <c r="P17" s="582">
        <f>P16-P15</f>
        <v>8.940696716308594E-08</v>
      </c>
      <c r="Q17" s="10"/>
      <c r="R17" s="582">
        <f>R16-R15</f>
        <v>0</v>
      </c>
      <c r="T17" s="582">
        <f>T16-T15</f>
        <v>1.341104507446289E-07</v>
      </c>
      <c r="V17" s="582">
        <f>V16-V15</f>
        <v>0</v>
      </c>
      <c r="X17" s="586">
        <f>X16-X15</f>
        <v>0</v>
      </c>
      <c r="Z17" s="586">
        <f>Z16-Z15</f>
        <v>-2.980232238769531E-07</v>
      </c>
      <c r="AA17" s="10"/>
      <c r="AB17" s="582">
        <f>AB16-AB15</f>
        <v>9280.000000044703</v>
      </c>
      <c r="AD17" s="10" t="e">
        <f>AD16-AD15</f>
        <v>#REF!</v>
      </c>
      <c r="AF17" s="10" t="e">
        <f>AF16-AF15</f>
        <v>#REF!</v>
      </c>
    </row>
    <row r="18" spans="1:32" ht="12.75">
      <c r="A18" s="750" t="s">
        <v>1199</v>
      </c>
      <c r="B18" s="751"/>
      <c r="C18" s="751"/>
      <c r="D18" s="591"/>
      <c r="F18" s="582"/>
      <c r="H18" s="10"/>
      <c r="K18" s="10">
        <f>L17/2</f>
        <v>591298.2800000047</v>
      </c>
      <c r="L18" s="582"/>
      <c r="N18" s="10"/>
      <c r="O18" s="10"/>
      <c r="P18" s="10"/>
      <c r="Q18" s="10"/>
      <c r="R18" s="582"/>
      <c r="T18" s="10"/>
      <c r="X18" s="585"/>
      <c r="Z18" s="10"/>
      <c r="AA18" s="10"/>
      <c r="AB18" s="106"/>
      <c r="AD18" s="10"/>
      <c r="AF18" s="10"/>
    </row>
    <row r="19" spans="1:32" ht="12.75">
      <c r="A19" s="1"/>
      <c r="B19" s="571" t="s">
        <v>25</v>
      </c>
      <c r="C19" s="570"/>
      <c r="D19" s="571" t="s">
        <v>26</v>
      </c>
      <c r="F19" s="572" t="s">
        <v>27</v>
      </c>
      <c r="H19" s="10" t="s">
        <v>1200</v>
      </c>
      <c r="J19" s="70" t="s">
        <v>1201</v>
      </c>
      <c r="L19" s="574" t="s">
        <v>22</v>
      </c>
      <c r="M19" s="592"/>
      <c r="N19" s="574" t="s">
        <v>28</v>
      </c>
      <c r="O19" s="10"/>
      <c r="P19" s="10"/>
      <c r="Q19" s="10"/>
      <c r="R19" s="582"/>
      <c r="T19" s="10"/>
      <c r="X19" s="585"/>
      <c r="Z19" s="10"/>
      <c r="AA19" s="10"/>
      <c r="AB19" s="10"/>
      <c r="AD19" s="10"/>
      <c r="AF19" s="10"/>
    </row>
    <row r="20" spans="1:32" ht="12.75">
      <c r="A20" s="1" t="s">
        <v>1202</v>
      </c>
      <c r="B20" s="10">
        <v>1988725199.880001</v>
      </c>
      <c r="C20" s="570"/>
      <c r="D20" s="379">
        <f>B26</f>
        <v>1923317111.690001</v>
      </c>
      <c r="F20" s="582">
        <f>D26</f>
        <v>1923317111.690001</v>
      </c>
      <c r="H20" s="10">
        <f>B20</f>
        <v>1988725199.880001</v>
      </c>
      <c r="J20" s="10">
        <f>F26</f>
        <v>1923317111.690001</v>
      </c>
      <c r="L20" s="582">
        <f>J26</f>
        <v>1923317111.690001</v>
      </c>
      <c r="N20" s="10">
        <f>L26</f>
        <v>1923317111.690001</v>
      </c>
      <c r="O20" s="10"/>
      <c r="P20" s="10">
        <v>1190559034.75</v>
      </c>
      <c r="Q20" s="10"/>
      <c r="R20" s="582">
        <f>N26</f>
        <v>1923317111.690001</v>
      </c>
      <c r="T20" s="10">
        <f>R26</f>
        <v>1923317111.690001</v>
      </c>
      <c r="V20" s="10">
        <f>T26</f>
        <v>1923317111.690001</v>
      </c>
      <c r="X20" s="584">
        <f>V26</f>
        <v>1923317111.690001</v>
      </c>
      <c r="Z20" s="10">
        <f>X26</f>
        <v>1923317111.690001</v>
      </c>
      <c r="AA20" s="10"/>
      <c r="AB20" s="10">
        <f>Z26</f>
        <v>1923317111.690001</v>
      </c>
      <c r="AD20" s="10">
        <f>B20</f>
        <v>1988725199.880001</v>
      </c>
      <c r="AF20" s="10" t="e">
        <f>#REF!</f>
        <v>#REF!</v>
      </c>
    </row>
    <row r="21" spans="1:32" ht="12.75">
      <c r="A21" s="1"/>
      <c r="B21" s="379"/>
      <c r="C21" s="570"/>
      <c r="D21" s="379"/>
      <c r="F21" s="582"/>
      <c r="H21" s="10"/>
      <c r="L21" s="582"/>
      <c r="N21" s="10"/>
      <c r="O21" s="10"/>
      <c r="P21" s="10"/>
      <c r="Q21" s="10"/>
      <c r="R21" s="582"/>
      <c r="T21" s="10"/>
      <c r="X21" s="585"/>
      <c r="Z21" s="10"/>
      <c r="AA21" s="10"/>
      <c r="AB21" s="10"/>
      <c r="AD21" s="10"/>
      <c r="AF21" s="10"/>
    </row>
    <row r="22" spans="1:32" ht="12.75">
      <c r="A22" s="1" t="s">
        <v>1203</v>
      </c>
      <c r="B22" s="379">
        <f>C101</f>
        <v>1384299.349999994</v>
      </c>
      <c r="C22" s="570"/>
      <c r="D22" s="379">
        <f>E100</f>
        <v>0</v>
      </c>
      <c r="F22" s="379">
        <f>G100</f>
        <v>0</v>
      </c>
      <c r="H22" s="10">
        <f>I100</f>
        <v>0</v>
      </c>
      <c r="J22" s="10">
        <f>K101</f>
        <v>0</v>
      </c>
      <c r="L22" s="582">
        <f>-M100</f>
        <v>0</v>
      </c>
      <c r="N22" s="582">
        <f>O101</f>
        <v>0</v>
      </c>
      <c r="O22" s="10"/>
      <c r="P22" s="10">
        <f>-Q100</f>
        <v>0</v>
      </c>
      <c r="Q22" s="10"/>
      <c r="R22" s="582">
        <f>S101</f>
        <v>0</v>
      </c>
      <c r="S22" s="379"/>
      <c r="T22" s="10">
        <f>U101</f>
        <v>0</v>
      </c>
      <c r="V22" s="10">
        <f>W101</f>
        <v>0</v>
      </c>
      <c r="X22" s="584">
        <f>Y101</f>
        <v>0</v>
      </c>
      <c r="Z22" s="10">
        <f>AA101</f>
        <v>0</v>
      </c>
      <c r="AA22" s="10"/>
      <c r="AB22" s="10">
        <f>AC101</f>
        <v>0</v>
      </c>
      <c r="AD22" s="10">
        <f>-AE100</f>
        <v>0</v>
      </c>
      <c r="AF22" s="10">
        <f>AG101</f>
        <v>0</v>
      </c>
    </row>
    <row r="23" spans="1:32" ht="12.75">
      <c r="A23" s="1"/>
      <c r="B23" s="379"/>
      <c r="C23" s="570"/>
      <c r="D23" s="379"/>
      <c r="F23" s="582"/>
      <c r="H23" s="10"/>
      <c r="L23" s="582"/>
      <c r="N23" s="10"/>
      <c r="O23" s="10"/>
      <c r="P23" s="10"/>
      <c r="Q23" s="10"/>
      <c r="R23" s="582"/>
      <c r="T23" s="10"/>
      <c r="X23" s="585"/>
      <c r="Z23" s="10"/>
      <c r="AA23" s="10"/>
      <c r="AB23" s="10"/>
      <c r="AD23" s="10"/>
      <c r="AF23" s="10"/>
    </row>
    <row r="24" spans="1:32" ht="12.75">
      <c r="A24" s="1" t="s">
        <v>1204</v>
      </c>
      <c r="B24" s="379">
        <f>C100</f>
        <v>66792387.54000001</v>
      </c>
      <c r="C24" s="570"/>
      <c r="D24" s="379">
        <f>E101</f>
        <v>0</v>
      </c>
      <c r="F24" s="379">
        <f>G101</f>
        <v>0</v>
      </c>
      <c r="H24" s="10">
        <f>I101</f>
        <v>0</v>
      </c>
      <c r="J24" s="10">
        <f>K100</f>
        <v>0</v>
      </c>
      <c r="L24" s="582">
        <f>-M101</f>
        <v>0</v>
      </c>
      <c r="N24" s="582">
        <f>O100</f>
        <v>0</v>
      </c>
      <c r="O24" s="10"/>
      <c r="P24" s="10">
        <f>Q101</f>
        <v>0</v>
      </c>
      <c r="Q24" s="10"/>
      <c r="R24" s="582">
        <f>S100</f>
        <v>0</v>
      </c>
      <c r="T24" s="10">
        <f>U100</f>
        <v>0</v>
      </c>
      <c r="V24" s="10">
        <f>W100</f>
        <v>0</v>
      </c>
      <c r="X24" s="584">
        <f>Y100</f>
        <v>0</v>
      </c>
      <c r="Z24" s="10">
        <f>AA100</f>
        <v>0</v>
      </c>
      <c r="AA24" s="10"/>
      <c r="AB24" s="10">
        <f>AC100</f>
        <v>0</v>
      </c>
      <c r="AD24" s="10">
        <f>AE101</f>
        <v>0</v>
      </c>
      <c r="AF24" s="10">
        <f>AG100</f>
        <v>0</v>
      </c>
    </row>
    <row r="25" spans="1:32" ht="12.75">
      <c r="A25" s="1"/>
      <c r="B25" s="379"/>
      <c r="C25" s="570"/>
      <c r="D25" s="379"/>
      <c r="F25" s="582"/>
      <c r="H25" s="10"/>
      <c r="L25" s="582"/>
      <c r="N25" s="10"/>
      <c r="O25" s="10"/>
      <c r="P25" s="10"/>
      <c r="Q25" s="10"/>
      <c r="R25" s="582"/>
      <c r="T25" s="10"/>
      <c r="X25" s="585"/>
      <c r="Z25" s="10"/>
      <c r="AA25" s="10"/>
      <c r="AB25" s="10"/>
      <c r="AD25" s="10"/>
      <c r="AF25" s="10"/>
    </row>
    <row r="26" spans="1:32" ht="12.75">
      <c r="A26" s="1" t="s">
        <v>1205</v>
      </c>
      <c r="B26" s="379">
        <f>+B20+B22-B24</f>
        <v>1923317111.690001</v>
      </c>
      <c r="C26" s="570"/>
      <c r="D26" s="379">
        <f>+D20+D22-D24</f>
        <v>1923317111.690001</v>
      </c>
      <c r="F26" s="379">
        <f>+F20+F22-F24</f>
        <v>1923317111.690001</v>
      </c>
      <c r="H26" s="379">
        <f>+H20+H22-H24</f>
        <v>1988725199.880001</v>
      </c>
      <c r="J26" s="379">
        <f>+J20+J22-J24</f>
        <v>1923317111.690001</v>
      </c>
      <c r="L26" s="379">
        <f>+L20+L22-L24</f>
        <v>1923317111.690001</v>
      </c>
      <c r="N26" s="379">
        <f>+N20+N22-N24</f>
        <v>1923317111.690001</v>
      </c>
      <c r="O26" s="10"/>
      <c r="P26" s="379">
        <f>+P20+P22-P24</f>
        <v>1190559034.75</v>
      </c>
      <c r="Q26" s="10"/>
      <c r="R26" s="379">
        <f>+R20+R22-R24</f>
        <v>1923317111.690001</v>
      </c>
      <c r="T26" s="379">
        <f>+T20+T22-T24</f>
        <v>1923317111.690001</v>
      </c>
      <c r="V26" s="379">
        <f>+V20+V22-V24</f>
        <v>1923317111.690001</v>
      </c>
      <c r="X26" s="379">
        <f>+X20+X22-X24</f>
        <v>1923317111.690001</v>
      </c>
      <c r="Z26" s="379">
        <f>+Z20+Z22-Z24</f>
        <v>1923317111.690001</v>
      </c>
      <c r="AA26" s="10"/>
      <c r="AB26" s="379">
        <f>+AB20+AB22-AB24</f>
        <v>1923317111.690001</v>
      </c>
      <c r="AD26" s="379">
        <f>+AD20+AD22-AD24</f>
        <v>1988725199.880001</v>
      </c>
      <c r="AF26" s="379" t="e">
        <f>+AF20+AF22-AF24</f>
        <v>#REF!</v>
      </c>
    </row>
    <row r="27" spans="1:32" ht="12.75">
      <c r="A27" s="1"/>
      <c r="B27" s="379"/>
      <c r="C27" s="570"/>
      <c r="D27" s="379"/>
      <c r="F27" s="582"/>
      <c r="H27" s="10"/>
      <c r="L27" s="582"/>
      <c r="N27" s="10"/>
      <c r="O27" s="10"/>
      <c r="P27" s="10"/>
      <c r="Q27" s="10"/>
      <c r="R27" s="582"/>
      <c r="T27" s="10"/>
      <c r="X27" s="585"/>
      <c r="Z27" s="10"/>
      <c r="AA27" s="10"/>
      <c r="AB27" s="10"/>
      <c r="AD27" s="10"/>
      <c r="AF27" s="10"/>
    </row>
    <row r="28" spans="1:32" ht="13.5" thickBot="1">
      <c r="A28" s="1" t="s">
        <v>1206</v>
      </c>
      <c r="B28" s="588">
        <f>B26-B20</f>
        <v>-65408088.19000006</v>
      </c>
      <c r="C28" s="570"/>
      <c r="D28" s="588">
        <f>D26-D20</f>
        <v>0</v>
      </c>
      <c r="F28" s="588">
        <f>F26-F20</f>
        <v>0</v>
      </c>
      <c r="H28" s="588">
        <f>H26-H20</f>
        <v>0</v>
      </c>
      <c r="J28" s="588">
        <f>J26-J20</f>
        <v>0</v>
      </c>
      <c r="L28" s="588">
        <f>L26-L20</f>
        <v>0</v>
      </c>
      <c r="N28" s="588">
        <f>N26-N20</f>
        <v>0</v>
      </c>
      <c r="O28" s="10"/>
      <c r="P28" s="588">
        <f>P26-P20</f>
        <v>0</v>
      </c>
      <c r="Q28" s="10"/>
      <c r="R28" s="588">
        <f>R26-R20</f>
        <v>0</v>
      </c>
      <c r="T28" s="588">
        <f>T26-T20</f>
        <v>0</v>
      </c>
      <c r="V28" s="588">
        <f>V26-V20</f>
        <v>0</v>
      </c>
      <c r="X28" s="588">
        <f>X26-X20</f>
        <v>0</v>
      </c>
      <c r="Z28" s="588">
        <f>Z26-Z20</f>
        <v>0</v>
      </c>
      <c r="AA28" s="10"/>
      <c r="AB28" s="588">
        <f>+AB26-AB20</f>
        <v>0</v>
      </c>
      <c r="AD28" s="588">
        <f>+AD26-AD20</f>
        <v>0</v>
      </c>
      <c r="AF28" s="588" t="e">
        <f>+AF26-AF20</f>
        <v>#REF!</v>
      </c>
    </row>
    <row r="29" spans="1:33" ht="13.5" thickTop="1">
      <c r="A29" s="39"/>
      <c r="B29" s="379">
        <f>B100</f>
        <v>-65408088.19000001</v>
      </c>
      <c r="C29" s="593"/>
      <c r="D29" s="379">
        <f>D100</f>
        <v>0</v>
      </c>
      <c r="E29" s="593"/>
      <c r="F29" s="582">
        <f>F100</f>
        <v>0</v>
      </c>
      <c r="G29" s="593"/>
      <c r="H29" s="594">
        <f>H100</f>
        <v>0</v>
      </c>
      <c r="I29" s="593"/>
      <c r="J29" s="594">
        <f>J100</f>
        <v>0</v>
      </c>
      <c r="K29" s="593"/>
      <c r="L29" s="582">
        <f>L100</f>
        <v>0</v>
      </c>
      <c r="M29" s="593"/>
      <c r="N29" s="582">
        <f>N100</f>
        <v>0</v>
      </c>
      <c r="O29" s="594"/>
      <c r="P29" s="594">
        <f>P100</f>
        <v>0</v>
      </c>
      <c r="Q29" s="594"/>
      <c r="R29" s="582">
        <f>R100</f>
        <v>0</v>
      </c>
      <c r="S29" s="593"/>
      <c r="T29" s="582">
        <f>T100</f>
        <v>0</v>
      </c>
      <c r="U29" s="593"/>
      <c r="V29" s="594">
        <f>V100</f>
        <v>0</v>
      </c>
      <c r="W29" s="593"/>
      <c r="X29" s="595">
        <f>X100</f>
        <v>0</v>
      </c>
      <c r="Y29" s="593"/>
      <c r="Z29" s="594">
        <f>Z100</f>
        <v>0</v>
      </c>
      <c r="AA29" s="594"/>
      <c r="AB29" s="594">
        <f>AB100</f>
        <v>0</v>
      </c>
      <c r="AC29" s="593"/>
      <c r="AD29" s="594">
        <f>AD100</f>
        <v>0</v>
      </c>
      <c r="AE29" s="593"/>
      <c r="AF29" s="594">
        <f>AF100</f>
        <v>0</v>
      </c>
      <c r="AG29" s="593"/>
    </row>
    <row r="30" spans="2:32" ht="12.75">
      <c r="B30" s="582">
        <f>B29-B28</f>
        <v>0</v>
      </c>
      <c r="C30" s="570"/>
      <c r="D30" s="582">
        <f>D29-D28</f>
        <v>0</v>
      </c>
      <c r="F30" s="582">
        <f>F29-F28</f>
        <v>0</v>
      </c>
      <c r="H30" s="582">
        <f>H29-H28</f>
        <v>0</v>
      </c>
      <c r="J30" s="582">
        <f>J29-J28</f>
        <v>0</v>
      </c>
      <c r="L30" s="582">
        <f>L29-L28</f>
        <v>0</v>
      </c>
      <c r="N30" s="582">
        <f>N29-N28</f>
        <v>0</v>
      </c>
      <c r="O30" s="10"/>
      <c r="P30" s="582">
        <f>P29-P28</f>
        <v>0</v>
      </c>
      <c r="Q30" s="10"/>
      <c r="R30" s="582">
        <f>R29-R28</f>
        <v>0</v>
      </c>
      <c r="T30" s="582">
        <f>T29-T28</f>
        <v>0</v>
      </c>
      <c r="V30" s="582">
        <f>V29-V28</f>
        <v>0</v>
      </c>
      <c r="X30" s="582">
        <f>X29-X28</f>
        <v>0</v>
      </c>
      <c r="Z30" s="10"/>
      <c r="AA30" s="10"/>
      <c r="AB30" s="10">
        <f>AB29-AB28</f>
        <v>0</v>
      </c>
      <c r="AD30" s="10">
        <f>AD29-AD28</f>
        <v>0</v>
      </c>
      <c r="AF30" s="10" t="e">
        <f>AF29-AF28</f>
        <v>#REF!</v>
      </c>
    </row>
    <row r="31" spans="2:32" ht="12.75">
      <c r="B31" s="570"/>
      <c r="C31" s="570"/>
      <c r="F31" s="582"/>
      <c r="H31" s="10"/>
      <c r="L31" s="582"/>
      <c r="N31" s="10"/>
      <c r="O31" s="10"/>
      <c r="P31" s="10"/>
      <c r="Q31" s="10"/>
      <c r="R31" s="582"/>
      <c r="T31" s="10"/>
      <c r="X31" s="585"/>
      <c r="Z31" s="10"/>
      <c r="AA31" s="10"/>
      <c r="AB31" s="10"/>
      <c r="AD31" s="10"/>
      <c r="AF31" s="10"/>
    </row>
    <row r="32" spans="1:33" ht="12.75">
      <c r="A32" s="596"/>
      <c r="B32" s="752" t="s">
        <v>25</v>
      </c>
      <c r="C32" s="753"/>
      <c r="D32" s="752" t="s">
        <v>26</v>
      </c>
      <c r="E32" s="753"/>
      <c r="F32" s="754" t="s">
        <v>27</v>
      </c>
      <c r="G32" s="755"/>
      <c r="H32" s="754" t="s">
        <v>1207</v>
      </c>
      <c r="I32" s="755"/>
      <c r="J32" s="754" t="s">
        <v>1201</v>
      </c>
      <c r="K32" s="755"/>
      <c r="L32" s="754" t="s">
        <v>1208</v>
      </c>
      <c r="M32" s="755"/>
      <c r="N32" s="748" t="s">
        <v>1189</v>
      </c>
      <c r="O32" s="749"/>
      <c r="P32" s="748" t="s">
        <v>1190</v>
      </c>
      <c r="Q32" s="749"/>
      <c r="R32" s="748" t="s">
        <v>1191</v>
      </c>
      <c r="S32" s="749"/>
      <c r="T32" s="748" t="s">
        <v>1209</v>
      </c>
      <c r="U32" s="749"/>
      <c r="V32" s="748" t="s">
        <v>1210</v>
      </c>
      <c r="W32" s="749"/>
      <c r="X32" s="748" t="s">
        <v>1211</v>
      </c>
      <c r="Y32" s="749"/>
      <c r="Z32" s="748" t="s">
        <v>1212</v>
      </c>
      <c r="AA32" s="749"/>
      <c r="AB32" s="747" t="s">
        <v>1213</v>
      </c>
      <c r="AC32" s="747"/>
      <c r="AD32" s="747" t="s">
        <v>1214</v>
      </c>
      <c r="AE32" s="747"/>
      <c r="AF32" s="747" t="s">
        <v>1214</v>
      </c>
      <c r="AG32" s="747"/>
    </row>
    <row r="33" spans="1:33" ht="12.75">
      <c r="A33" s="596"/>
      <c r="B33" s="597" t="s">
        <v>1215</v>
      </c>
      <c r="C33" s="598" t="s">
        <v>1216</v>
      </c>
      <c r="D33" s="597" t="s">
        <v>1215</v>
      </c>
      <c r="E33" s="598" t="s">
        <v>1216</v>
      </c>
      <c r="F33" s="599" t="s">
        <v>1215</v>
      </c>
      <c r="G33" s="598" t="s">
        <v>1216</v>
      </c>
      <c r="H33" s="599" t="s">
        <v>1215</v>
      </c>
      <c r="I33" s="598" t="s">
        <v>1216</v>
      </c>
      <c r="J33" s="599" t="s">
        <v>1215</v>
      </c>
      <c r="K33" s="598" t="s">
        <v>1216</v>
      </c>
      <c r="L33" s="599" t="s">
        <v>1215</v>
      </c>
      <c r="M33" s="598" t="s">
        <v>1216</v>
      </c>
      <c r="N33" s="599" t="s">
        <v>1215</v>
      </c>
      <c r="O33" s="600" t="s">
        <v>1216</v>
      </c>
      <c r="P33" s="599" t="s">
        <v>1215</v>
      </c>
      <c r="Q33" s="600" t="s">
        <v>1216</v>
      </c>
      <c r="R33" s="601" t="s">
        <v>1215</v>
      </c>
      <c r="S33" s="602" t="s">
        <v>1216</v>
      </c>
      <c r="T33" s="599" t="s">
        <v>1215</v>
      </c>
      <c r="U33" s="600" t="s">
        <v>1216</v>
      </c>
      <c r="V33" s="599" t="s">
        <v>1215</v>
      </c>
      <c r="W33" s="600" t="s">
        <v>1216</v>
      </c>
      <c r="X33" s="603" t="s">
        <v>1215</v>
      </c>
      <c r="Y33" s="600" t="s">
        <v>1216</v>
      </c>
      <c r="Z33" s="603" t="s">
        <v>1217</v>
      </c>
      <c r="AA33" s="600" t="s">
        <v>1216</v>
      </c>
      <c r="AB33" s="604" t="s">
        <v>1218</v>
      </c>
      <c r="AC33" s="604" t="s">
        <v>1216</v>
      </c>
      <c r="AD33" s="604" t="s">
        <v>1182</v>
      </c>
      <c r="AE33" s="604" t="s">
        <v>1216</v>
      </c>
      <c r="AF33" s="604" t="s">
        <v>1182</v>
      </c>
      <c r="AG33" s="604" t="s">
        <v>1216</v>
      </c>
    </row>
    <row r="34" spans="1:33" ht="12.75">
      <c r="A34" s="355" t="s">
        <v>1219</v>
      </c>
      <c r="B34" s="605"/>
      <c r="C34" s="605"/>
      <c r="D34" s="605"/>
      <c r="E34" s="605"/>
      <c r="F34" s="606"/>
      <c r="G34" s="606"/>
      <c r="H34" s="606"/>
      <c r="I34" s="606"/>
      <c r="J34" s="606"/>
      <c r="K34" s="606"/>
      <c r="L34" s="607"/>
      <c r="M34" s="607"/>
      <c r="N34" s="607"/>
      <c r="O34" s="607"/>
      <c r="P34" s="607"/>
      <c r="Q34" s="607"/>
      <c r="R34" s="607"/>
      <c r="S34" s="607"/>
      <c r="T34" s="607"/>
      <c r="U34" s="607"/>
      <c r="V34" s="607"/>
      <c r="W34" s="607"/>
      <c r="X34" s="611"/>
      <c r="Y34" s="611"/>
      <c r="Z34" s="606"/>
      <c r="AA34" s="606"/>
      <c r="AB34" s="608"/>
      <c r="AC34" s="608"/>
      <c r="AD34" s="605"/>
      <c r="AE34" s="605"/>
      <c r="AF34" s="605"/>
      <c r="AG34" s="605"/>
    </row>
    <row r="35" spans="1:33" ht="12.75">
      <c r="A35" s="306" t="s">
        <v>1220</v>
      </c>
      <c r="B35" s="609"/>
      <c r="C35" s="609"/>
      <c r="D35" s="609"/>
      <c r="E35" s="609"/>
      <c r="F35" s="606"/>
      <c r="G35" s="606"/>
      <c r="H35" s="606"/>
      <c r="I35" s="606"/>
      <c r="J35" s="606"/>
      <c r="K35" s="606"/>
      <c r="L35" s="607"/>
      <c r="M35" s="607"/>
      <c r="N35" s="607"/>
      <c r="O35" s="607"/>
      <c r="P35" s="607"/>
      <c r="Q35" s="607"/>
      <c r="R35" s="607"/>
      <c r="S35" s="607"/>
      <c r="T35" s="607"/>
      <c r="U35" s="607"/>
      <c r="V35" s="607"/>
      <c r="W35" s="607"/>
      <c r="X35" s="611"/>
      <c r="Y35" s="611"/>
      <c r="Z35" s="606"/>
      <c r="AA35" s="606"/>
      <c r="AB35" s="613"/>
      <c r="AC35" s="613"/>
      <c r="AD35" s="609"/>
      <c r="AE35" s="609"/>
      <c r="AF35" s="609"/>
      <c r="AG35" s="609"/>
    </row>
    <row r="36" spans="1:33" ht="12.75">
      <c r="A36" s="615" t="s">
        <v>1221</v>
      </c>
      <c r="B36" s="614">
        <v>2361440.48</v>
      </c>
      <c r="C36" s="614">
        <v>2361440.48</v>
      </c>
      <c r="D36" s="609"/>
      <c r="E36" s="609"/>
      <c r="F36" s="606"/>
      <c r="G36" s="606"/>
      <c r="H36" s="606"/>
      <c r="I36" s="606"/>
      <c r="J36" s="606"/>
      <c r="K36" s="606"/>
      <c r="L36" s="607"/>
      <c r="M36" s="60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72"/>
      <c r="Y36" s="672"/>
      <c r="Z36" s="606"/>
      <c r="AA36" s="606"/>
      <c r="AB36" s="613"/>
      <c r="AC36" s="613"/>
      <c r="AD36" s="609"/>
      <c r="AE36" s="609"/>
      <c r="AF36" s="609"/>
      <c r="AG36" s="609"/>
    </row>
    <row r="37" spans="1:33" ht="12.75">
      <c r="A37" s="615" t="s">
        <v>1222</v>
      </c>
      <c r="B37" s="633"/>
      <c r="C37" s="633"/>
      <c r="D37" s="633"/>
      <c r="E37" s="633"/>
      <c r="F37" s="606"/>
      <c r="G37" s="606"/>
      <c r="H37" s="606"/>
      <c r="I37" s="606"/>
      <c r="J37" s="606"/>
      <c r="K37" s="606"/>
      <c r="L37" s="607"/>
      <c r="M37" s="60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11"/>
      <c r="Y37" s="611"/>
      <c r="Z37" s="606"/>
      <c r="AA37" s="606"/>
      <c r="AB37" s="613"/>
      <c r="AC37" s="613"/>
      <c r="AD37" s="609"/>
      <c r="AE37" s="609"/>
      <c r="AF37" s="609"/>
      <c r="AG37" s="609"/>
    </row>
    <row r="38" spans="1:33" ht="12.75">
      <c r="A38" s="306" t="s">
        <v>1223</v>
      </c>
      <c r="B38" s="609"/>
      <c r="C38" s="609"/>
      <c r="D38" s="609"/>
      <c r="E38" s="609"/>
      <c r="F38" s="606"/>
      <c r="G38" s="606"/>
      <c r="H38" s="606"/>
      <c r="I38" s="606"/>
      <c r="J38" s="606"/>
      <c r="K38" s="606"/>
      <c r="L38" s="607"/>
      <c r="M38" s="60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11"/>
      <c r="Y38" s="611"/>
      <c r="Z38" s="606"/>
      <c r="AA38" s="606"/>
      <c r="AB38" s="613"/>
      <c r="AC38" s="613"/>
      <c r="AD38" s="609"/>
      <c r="AE38" s="609"/>
      <c r="AF38" s="609"/>
      <c r="AG38" s="609"/>
    </row>
    <row r="39" spans="1:33" ht="12.75">
      <c r="A39" s="306" t="s">
        <v>1224</v>
      </c>
      <c r="B39" s="609"/>
      <c r="C39" s="609"/>
      <c r="D39" s="609"/>
      <c r="E39" s="609"/>
      <c r="F39" s="606"/>
      <c r="G39" s="606"/>
      <c r="H39" s="606"/>
      <c r="I39" s="606"/>
      <c r="J39" s="606"/>
      <c r="K39" s="606"/>
      <c r="L39" s="607"/>
      <c r="M39" s="60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11"/>
      <c r="Y39" s="611"/>
      <c r="Z39" s="606"/>
      <c r="AA39" s="606"/>
      <c r="AB39" s="613"/>
      <c r="AC39" s="613"/>
      <c r="AD39" s="609"/>
      <c r="AE39" s="609"/>
      <c r="AF39" s="609"/>
      <c r="AG39" s="609"/>
    </row>
    <row r="40" spans="1:33" ht="12.75">
      <c r="A40" s="306" t="s">
        <v>1225</v>
      </c>
      <c r="B40" s="609"/>
      <c r="C40" s="609"/>
      <c r="D40" s="609"/>
      <c r="E40" s="609"/>
      <c r="F40" s="606"/>
      <c r="G40" s="606"/>
      <c r="H40" s="606"/>
      <c r="I40" s="606"/>
      <c r="J40" s="606"/>
      <c r="K40" s="606"/>
      <c r="L40" s="607"/>
      <c r="M40" s="60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11"/>
      <c r="Y40" s="611"/>
      <c r="Z40" s="606"/>
      <c r="AA40" s="606"/>
      <c r="AB40" s="613"/>
      <c r="AC40" s="613"/>
      <c r="AD40" s="609"/>
      <c r="AE40" s="609"/>
      <c r="AF40" s="609"/>
      <c r="AG40" s="609"/>
    </row>
    <row r="41" spans="1:33" ht="12.75">
      <c r="A41" s="306" t="s">
        <v>1226</v>
      </c>
      <c r="B41" s="609"/>
      <c r="C41" s="609"/>
      <c r="D41" s="609"/>
      <c r="E41" s="609"/>
      <c r="F41" s="606"/>
      <c r="G41" s="606"/>
      <c r="H41" s="606"/>
      <c r="I41" s="606"/>
      <c r="J41" s="606"/>
      <c r="K41" s="606"/>
      <c r="L41" s="607"/>
      <c r="M41" s="60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11"/>
      <c r="Y41" s="611"/>
      <c r="Z41" s="606"/>
      <c r="AA41" s="606"/>
      <c r="AB41" s="558"/>
      <c r="AC41" s="558"/>
      <c r="AD41" s="609"/>
      <c r="AE41" s="609"/>
      <c r="AF41" s="609"/>
      <c r="AG41" s="609"/>
    </row>
    <row r="42" spans="1:33" ht="12.75">
      <c r="A42" s="306" t="s">
        <v>1227</v>
      </c>
      <c r="B42" s="614">
        <v>3114264.58</v>
      </c>
      <c r="C42" s="614"/>
      <c r="D42" s="609"/>
      <c r="E42" s="609"/>
      <c r="F42" s="606"/>
      <c r="G42" s="606"/>
      <c r="H42" s="606"/>
      <c r="I42" s="606"/>
      <c r="J42" s="606"/>
      <c r="K42" s="606"/>
      <c r="L42" s="607"/>
      <c r="M42" s="60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11"/>
      <c r="Y42" s="611"/>
      <c r="Z42" s="606"/>
      <c r="AA42" s="606"/>
      <c r="AB42" s="613"/>
      <c r="AC42" s="613"/>
      <c r="AD42" s="609"/>
      <c r="AE42" s="609"/>
      <c r="AF42" s="609"/>
      <c r="AG42" s="609"/>
    </row>
    <row r="43" spans="1:33" ht="12.75">
      <c r="A43" s="306" t="s">
        <v>1228</v>
      </c>
      <c r="B43" s="614">
        <v>6166724.12</v>
      </c>
      <c r="C43" s="614"/>
      <c r="D43" s="609"/>
      <c r="E43" s="609"/>
      <c r="F43" s="606"/>
      <c r="G43" s="606"/>
      <c r="H43" s="606"/>
      <c r="I43" s="606"/>
      <c r="J43" s="606"/>
      <c r="K43" s="606"/>
      <c r="L43" s="607"/>
      <c r="M43" s="60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11"/>
      <c r="Y43" s="611"/>
      <c r="Z43" s="606"/>
      <c r="AA43" s="606"/>
      <c r="AB43" s="613"/>
      <c r="AC43" s="613"/>
      <c r="AD43" s="609"/>
      <c r="AE43" s="609"/>
      <c r="AF43" s="609"/>
      <c r="AG43" s="609"/>
    </row>
    <row r="44" spans="1:33" ht="12.75">
      <c r="A44" s="306" t="s">
        <v>1229</v>
      </c>
      <c r="B44" s="716"/>
      <c r="C44" s="716"/>
      <c r="D44" s="609"/>
      <c r="E44" s="609"/>
      <c r="F44" s="606"/>
      <c r="G44" s="606"/>
      <c r="H44" s="606"/>
      <c r="I44" s="606"/>
      <c r="J44" s="606"/>
      <c r="K44" s="606"/>
      <c r="L44" s="617"/>
      <c r="M44" s="617"/>
      <c r="N44" s="607"/>
      <c r="O44" s="607"/>
      <c r="P44" s="617"/>
      <c r="Q44" s="617"/>
      <c r="R44" s="607"/>
      <c r="S44" s="607"/>
      <c r="T44" s="612"/>
      <c r="U44" s="612"/>
      <c r="V44" s="607"/>
      <c r="W44" s="607"/>
      <c r="X44" s="611"/>
      <c r="Y44" s="611"/>
      <c r="Z44" s="606"/>
      <c r="AA44" s="606"/>
      <c r="AB44" s="613"/>
      <c r="AC44" s="613"/>
      <c r="AD44" s="609"/>
      <c r="AE44" s="609"/>
      <c r="AF44" s="609"/>
      <c r="AG44" s="609"/>
    </row>
    <row r="45" spans="1:33" ht="12.75">
      <c r="A45" s="306" t="s">
        <v>1230</v>
      </c>
      <c r="B45" s="609"/>
      <c r="C45" s="609"/>
      <c r="D45" s="609"/>
      <c r="E45" s="609"/>
      <c r="F45" s="606"/>
      <c r="G45" s="606"/>
      <c r="H45" s="606"/>
      <c r="I45" s="606"/>
      <c r="J45" s="606"/>
      <c r="K45" s="606"/>
      <c r="L45" s="618"/>
      <c r="M45" s="618"/>
      <c r="N45" s="606"/>
      <c r="O45" s="606"/>
      <c r="P45" s="612"/>
      <c r="Q45" s="612"/>
      <c r="R45" s="606"/>
      <c r="S45" s="606"/>
      <c r="T45" s="606"/>
      <c r="U45" s="606"/>
      <c r="V45" s="353"/>
      <c r="W45" s="353"/>
      <c r="X45" s="611"/>
      <c r="Y45" s="611"/>
      <c r="Z45" s="606"/>
      <c r="AA45" s="606"/>
      <c r="AB45" s="613"/>
      <c r="AC45" s="613"/>
      <c r="AD45" s="619"/>
      <c r="AE45" s="609"/>
      <c r="AF45" s="609"/>
      <c r="AG45" s="609"/>
    </row>
    <row r="46" spans="1:33" ht="12.75">
      <c r="A46" s="306" t="s">
        <v>1231</v>
      </c>
      <c r="B46" s="609"/>
      <c r="C46" s="609"/>
      <c r="D46" s="609"/>
      <c r="E46" s="609"/>
      <c r="F46" s="606"/>
      <c r="G46" s="606"/>
      <c r="H46" s="606"/>
      <c r="I46" s="606"/>
      <c r="J46" s="606"/>
      <c r="K46" s="606"/>
      <c r="L46" s="618"/>
      <c r="M46" s="618"/>
      <c r="N46" s="606"/>
      <c r="O46" s="606"/>
      <c r="P46" s="612"/>
      <c r="Q46" s="612"/>
      <c r="R46" s="606"/>
      <c r="S46" s="606"/>
      <c r="T46" s="606"/>
      <c r="U46" s="606"/>
      <c r="V46" s="622"/>
      <c r="W46" s="622"/>
      <c r="X46" s="611"/>
      <c r="Y46" s="611"/>
      <c r="Z46" s="606"/>
      <c r="AA46" s="606"/>
      <c r="AB46" s="613"/>
      <c r="AC46" s="613"/>
      <c r="AD46" s="619"/>
      <c r="AE46" s="609"/>
      <c r="AF46" s="609"/>
      <c r="AG46" s="609"/>
    </row>
    <row r="47" spans="1:33" ht="12.75">
      <c r="A47" s="306" t="s">
        <v>1232</v>
      </c>
      <c r="B47" s="609"/>
      <c r="C47" s="609"/>
      <c r="D47" s="609"/>
      <c r="E47" s="609"/>
      <c r="F47" s="606"/>
      <c r="G47" s="606"/>
      <c r="H47" s="606"/>
      <c r="I47" s="606"/>
      <c r="J47" s="606"/>
      <c r="K47" s="606"/>
      <c r="L47" s="607"/>
      <c r="M47" s="607"/>
      <c r="N47" s="607"/>
      <c r="O47" s="607"/>
      <c r="P47" s="607"/>
      <c r="Q47" s="607"/>
      <c r="R47" s="607"/>
      <c r="S47" s="607"/>
      <c r="T47" s="607"/>
      <c r="U47" s="607"/>
      <c r="V47" s="607"/>
      <c r="W47" s="607"/>
      <c r="X47" s="611"/>
      <c r="Y47" s="611"/>
      <c r="Z47" s="606"/>
      <c r="AA47" s="606"/>
      <c r="AB47" s="613"/>
      <c r="AC47" s="613"/>
      <c r="AD47" s="620"/>
      <c r="AE47" s="613"/>
      <c r="AF47" s="613"/>
      <c r="AG47" s="613"/>
    </row>
    <row r="48" spans="1:33" ht="12.75">
      <c r="A48" s="306" t="s">
        <v>1233</v>
      </c>
      <c r="B48" s="609"/>
      <c r="C48" s="609"/>
      <c r="D48" s="609"/>
      <c r="E48" s="609"/>
      <c r="F48" s="606"/>
      <c r="G48" s="606"/>
      <c r="H48" s="606"/>
      <c r="I48" s="606"/>
      <c r="J48" s="606"/>
      <c r="K48" s="606"/>
      <c r="L48" s="607"/>
      <c r="M48" s="607"/>
      <c r="N48" s="607"/>
      <c r="O48" s="607"/>
      <c r="P48" s="617"/>
      <c r="Q48" s="617"/>
      <c r="R48" s="607"/>
      <c r="S48" s="607"/>
      <c r="T48" s="607"/>
      <c r="U48" s="607"/>
      <c r="V48" s="617"/>
      <c r="W48" s="617"/>
      <c r="X48" s="611"/>
      <c r="Y48" s="611"/>
      <c r="Z48" s="606"/>
      <c r="AA48" s="606"/>
      <c r="AB48" s="613"/>
      <c r="AC48" s="613"/>
      <c r="AD48" s="620"/>
      <c r="AE48" s="620"/>
      <c r="AF48" s="612"/>
      <c r="AG48" s="612"/>
    </row>
    <row r="49" spans="1:33" ht="12.75">
      <c r="A49" s="306" t="s">
        <v>1234</v>
      </c>
      <c r="B49" s="609"/>
      <c r="C49" s="609"/>
      <c r="D49" s="609"/>
      <c r="E49" s="609"/>
      <c r="F49" s="606"/>
      <c r="G49" s="606"/>
      <c r="H49" s="606"/>
      <c r="I49" s="606"/>
      <c r="J49" s="606"/>
      <c r="K49" s="606"/>
      <c r="L49" s="120"/>
      <c r="M49" s="120"/>
      <c r="N49" s="607"/>
      <c r="O49" s="607"/>
      <c r="P49" s="612"/>
      <c r="Q49" s="612"/>
      <c r="R49" s="607"/>
      <c r="S49" s="607"/>
      <c r="T49" s="607"/>
      <c r="U49" s="607"/>
      <c r="V49" s="617"/>
      <c r="W49" s="617"/>
      <c r="X49" s="611"/>
      <c r="Y49" s="611"/>
      <c r="Z49" s="606"/>
      <c r="AA49" s="606"/>
      <c r="AB49" s="613"/>
      <c r="AC49" s="613"/>
      <c r="AD49" s="620"/>
      <c r="AE49" s="620"/>
      <c r="AF49" s="612"/>
      <c r="AG49" s="612"/>
    </row>
    <row r="50" spans="1:33" ht="12.75">
      <c r="A50" s="306" t="s">
        <v>1235</v>
      </c>
      <c r="B50" s="621"/>
      <c r="C50" s="621"/>
      <c r="D50" s="609"/>
      <c r="E50" s="609"/>
      <c r="F50" s="622"/>
      <c r="G50" s="622"/>
      <c r="H50" s="606"/>
      <c r="I50" s="606"/>
      <c r="J50" s="622"/>
      <c r="K50" s="622"/>
      <c r="L50" s="623"/>
      <c r="M50" s="623"/>
      <c r="N50" s="709"/>
      <c r="O50" s="710"/>
      <c r="P50" s="624"/>
      <c r="Q50" s="624"/>
      <c r="R50" s="623"/>
      <c r="S50" s="623"/>
      <c r="T50" s="623"/>
      <c r="U50" s="623"/>
      <c r="V50" s="625"/>
      <c r="W50" s="625"/>
      <c r="X50" s="120"/>
      <c r="Y50" s="120"/>
      <c r="Z50" s="622"/>
      <c r="AA50" s="622"/>
      <c r="AB50" s="626"/>
      <c r="AC50" s="626"/>
      <c r="AD50" s="619"/>
      <c r="AE50" s="609"/>
      <c r="AF50" s="709"/>
      <c r="AG50" s="609"/>
    </row>
    <row r="51" spans="1:33" ht="12.75">
      <c r="A51" s="306"/>
      <c r="B51" s="627"/>
      <c r="C51" s="627"/>
      <c r="D51" s="609"/>
      <c r="E51" s="609"/>
      <c r="F51" s="628"/>
      <c r="G51" s="622"/>
      <c r="H51" s="606"/>
      <c r="I51" s="606"/>
      <c r="J51" s="622"/>
      <c r="K51" s="622"/>
      <c r="L51" s="629"/>
      <c r="M51" s="629"/>
      <c r="N51" s="710"/>
      <c r="O51" s="710"/>
      <c r="P51" s="624"/>
      <c r="Q51" s="624"/>
      <c r="R51" s="622"/>
      <c r="S51" s="622"/>
      <c r="T51" s="623"/>
      <c r="U51" s="623"/>
      <c r="V51" s="625"/>
      <c r="W51" s="625"/>
      <c r="X51" s="630"/>
      <c r="Y51" s="630"/>
      <c r="Z51" s="622"/>
      <c r="AA51" s="622"/>
      <c r="AB51" s="626"/>
      <c r="AC51" s="120"/>
      <c r="AD51" s="619"/>
      <c r="AE51" s="609"/>
      <c r="AF51" s="709"/>
      <c r="AG51" s="609"/>
    </row>
    <row r="52" spans="1:33" ht="12.75">
      <c r="A52" s="615" t="s">
        <v>1236</v>
      </c>
      <c r="B52" s="631"/>
      <c r="C52" s="631"/>
      <c r="D52" s="609"/>
      <c r="E52" s="609"/>
      <c r="F52" s="606"/>
      <c r="G52" s="628"/>
      <c r="H52" s="606"/>
      <c r="I52" s="606"/>
      <c r="J52" s="606"/>
      <c r="K52" s="606"/>
      <c r="L52" s="618"/>
      <c r="M52" s="618"/>
      <c r="N52" s="606"/>
      <c r="O52" s="606"/>
      <c r="P52" s="606"/>
      <c r="Q52" s="606"/>
      <c r="R52" s="606"/>
      <c r="S52" s="606"/>
      <c r="T52" s="606"/>
      <c r="U52" s="606"/>
      <c r="V52" s="632"/>
      <c r="W52" s="632"/>
      <c r="X52" s="611"/>
      <c r="Y52" s="611"/>
      <c r="Z52" s="606"/>
      <c r="AA52" s="606"/>
      <c r="AB52" s="613"/>
      <c r="AC52" s="613"/>
      <c r="AD52" s="619"/>
      <c r="AE52" s="609"/>
      <c r="AF52" s="609"/>
      <c r="AG52" s="609"/>
    </row>
    <row r="53" spans="1:33" ht="12.75">
      <c r="A53" s="615" t="s">
        <v>1237</v>
      </c>
      <c r="B53" s="633">
        <v>13865516.43</v>
      </c>
      <c r="C53" s="633">
        <v>13865516.43</v>
      </c>
      <c r="D53" s="633"/>
      <c r="E53" s="633"/>
      <c r="F53" s="353"/>
      <c r="G53" s="606"/>
      <c r="H53" s="622"/>
      <c r="I53" s="622"/>
      <c r="J53" s="353"/>
      <c r="K53" s="353"/>
      <c r="L53" s="607"/>
      <c r="M53" s="607"/>
      <c r="N53" s="607"/>
      <c r="O53" s="607"/>
      <c r="P53" s="607"/>
      <c r="Q53" s="607"/>
      <c r="R53" s="607"/>
      <c r="S53" s="607"/>
      <c r="T53" s="634"/>
      <c r="U53" s="634"/>
      <c r="V53" s="635"/>
      <c r="W53" s="635"/>
      <c r="X53" s="611"/>
      <c r="Y53" s="611"/>
      <c r="Z53" s="606"/>
      <c r="AA53" s="606"/>
      <c r="AB53" s="613"/>
      <c r="AC53" s="613"/>
      <c r="AD53" s="619"/>
      <c r="AE53" s="609"/>
      <c r="AF53" s="609"/>
      <c r="AG53" s="609"/>
    </row>
    <row r="54" spans="1:33" ht="12.75">
      <c r="A54" s="615" t="s">
        <v>1238</v>
      </c>
      <c r="B54" s="631"/>
      <c r="C54" s="631"/>
      <c r="D54" s="631"/>
      <c r="E54" s="631"/>
      <c r="F54" s="353"/>
      <c r="G54" s="353"/>
      <c r="H54" s="622"/>
      <c r="I54" s="622"/>
      <c r="J54" s="353"/>
      <c r="K54" s="353"/>
      <c r="L54" s="607"/>
      <c r="M54" s="607"/>
      <c r="N54" s="607"/>
      <c r="O54" s="607"/>
      <c r="P54" s="617"/>
      <c r="Q54" s="617"/>
      <c r="R54" s="607"/>
      <c r="S54" s="607"/>
      <c r="T54" s="607"/>
      <c r="U54" s="607"/>
      <c r="V54" s="617"/>
      <c r="W54" s="617"/>
      <c r="X54" s="611"/>
      <c r="Y54" s="611"/>
      <c r="Z54" s="606"/>
      <c r="AA54" s="606"/>
      <c r="AB54" s="613"/>
      <c r="AC54" s="613"/>
      <c r="AD54" s="619"/>
      <c r="AE54" s="609"/>
      <c r="AF54" s="609"/>
      <c r="AG54" s="609"/>
    </row>
    <row r="55" spans="1:33" ht="12.75">
      <c r="A55" s="615" t="s">
        <v>1239</v>
      </c>
      <c r="B55" s="631"/>
      <c r="C55" s="631"/>
      <c r="D55" s="631"/>
      <c r="E55" s="631"/>
      <c r="F55" s="606"/>
      <c r="G55" s="353"/>
      <c r="H55" s="606"/>
      <c r="I55" s="606"/>
      <c r="J55" s="606"/>
      <c r="K55" s="606"/>
      <c r="L55" s="607"/>
      <c r="M55" s="607"/>
      <c r="N55" s="634"/>
      <c r="O55" s="634"/>
      <c r="P55" s="127"/>
      <c r="Q55" s="127"/>
      <c r="R55" s="353"/>
      <c r="S55" s="353"/>
      <c r="T55" s="637"/>
      <c r="U55" s="637"/>
      <c r="V55" s="612"/>
      <c r="W55" s="612"/>
      <c r="X55" s="611"/>
      <c r="Y55" s="611"/>
      <c r="Z55" s="606"/>
      <c r="AA55" s="606"/>
      <c r="AB55" s="613"/>
      <c r="AC55" s="613"/>
      <c r="AD55" s="619"/>
      <c r="AE55" s="609"/>
      <c r="AF55" s="609"/>
      <c r="AG55" s="609"/>
    </row>
    <row r="56" spans="1:33" ht="12.75">
      <c r="A56" s="615" t="s">
        <v>1240</v>
      </c>
      <c r="B56" s="633">
        <v>977794.12</v>
      </c>
      <c r="C56" s="633"/>
      <c r="D56" s="633"/>
      <c r="E56" s="633"/>
      <c r="F56" s="606"/>
      <c r="G56" s="606"/>
      <c r="H56" s="637"/>
      <c r="I56" s="639"/>
      <c r="J56" s="639"/>
      <c r="K56" s="639"/>
      <c r="L56" s="564"/>
      <c r="M56" s="564"/>
      <c r="N56" s="606"/>
      <c r="O56" s="606"/>
      <c r="P56" s="606"/>
      <c r="Q56" s="606"/>
      <c r="R56" s="606"/>
      <c r="S56" s="606"/>
      <c r="T56" s="711"/>
      <c r="U56" s="711"/>
      <c r="V56" s="632"/>
      <c r="W56" s="632"/>
      <c r="X56" s="611"/>
      <c r="Y56" s="611"/>
      <c r="Z56" s="606"/>
      <c r="AA56" s="606"/>
      <c r="AB56" s="613"/>
      <c r="AC56" s="613"/>
      <c r="AD56" s="619"/>
      <c r="AE56" s="609"/>
      <c r="AF56" s="609"/>
      <c r="AG56" s="609"/>
    </row>
    <row r="57" spans="1:33" ht="12.75">
      <c r="A57" s="640" t="s">
        <v>1241</v>
      </c>
      <c r="B57" s="641"/>
      <c r="C57" s="641"/>
      <c r="D57" s="641"/>
      <c r="E57" s="641"/>
      <c r="F57" s="642"/>
      <c r="G57" s="120"/>
      <c r="H57" s="642"/>
      <c r="I57" s="642"/>
      <c r="J57" s="643"/>
      <c r="K57" s="643"/>
      <c r="L57" s="642"/>
      <c r="M57" s="642"/>
      <c r="N57" s="642"/>
      <c r="O57" s="642"/>
      <c r="P57" s="642"/>
      <c r="Q57" s="642"/>
      <c r="R57" s="642"/>
      <c r="S57" s="642"/>
      <c r="T57" s="680"/>
      <c r="U57" s="680"/>
      <c r="V57" s="644"/>
      <c r="W57" s="644"/>
      <c r="X57" s="645"/>
      <c r="Y57" s="645"/>
      <c r="Z57" s="646"/>
      <c r="AA57" s="646"/>
      <c r="AB57" s="613"/>
      <c r="AC57" s="613"/>
      <c r="AD57" s="648"/>
      <c r="AE57" s="649"/>
      <c r="AF57" s="649"/>
      <c r="AG57" s="649"/>
    </row>
    <row r="58" spans="1:33" ht="12.75">
      <c r="A58" s="640" t="s">
        <v>1242</v>
      </c>
      <c r="B58" s="641"/>
      <c r="C58" s="641"/>
      <c r="D58" s="641"/>
      <c r="E58" s="641"/>
      <c r="F58" s="642"/>
      <c r="G58" s="642"/>
      <c r="H58" s="642"/>
      <c r="I58" s="642"/>
      <c r="J58" s="643"/>
      <c r="K58" s="643"/>
      <c r="L58" s="642"/>
      <c r="M58" s="642"/>
      <c r="N58" s="642"/>
      <c r="O58" s="642"/>
      <c r="P58" s="650"/>
      <c r="Q58" s="650"/>
      <c r="R58" s="642"/>
      <c r="S58" s="642"/>
      <c r="T58" s="642"/>
      <c r="U58" s="642"/>
      <c r="V58" s="644"/>
      <c r="W58" s="644"/>
      <c r="X58" s="645"/>
      <c r="Y58" s="645"/>
      <c r="Z58" s="646"/>
      <c r="AA58" s="646"/>
      <c r="AB58" s="613"/>
      <c r="AC58" s="613"/>
      <c r="AD58" s="648"/>
      <c r="AE58" s="649"/>
      <c r="AF58" s="649"/>
      <c r="AG58" s="649"/>
    </row>
    <row r="59" spans="1:33" ht="12.75">
      <c r="A59" s="615" t="s">
        <v>1243</v>
      </c>
      <c r="B59" s="633">
        <v>1656739.81</v>
      </c>
      <c r="C59" s="633">
        <v>1656739.81</v>
      </c>
      <c r="D59" s="633"/>
      <c r="E59" s="633"/>
      <c r="F59" s="606"/>
      <c r="G59" s="642"/>
      <c r="H59" s="606"/>
      <c r="I59" s="606"/>
      <c r="J59" s="606"/>
      <c r="K59" s="606"/>
      <c r="L59" s="607"/>
      <c r="M59" s="607"/>
      <c r="N59" s="607"/>
      <c r="O59" s="607"/>
      <c r="P59" s="612"/>
      <c r="Q59" s="612"/>
      <c r="R59" s="606"/>
      <c r="S59" s="606"/>
      <c r="T59" s="606"/>
      <c r="U59" s="606"/>
      <c r="V59" s="632"/>
      <c r="W59" s="632"/>
      <c r="X59" s="611"/>
      <c r="Y59" s="611"/>
      <c r="Z59" s="606"/>
      <c r="AA59" s="606"/>
      <c r="AB59" s="613"/>
      <c r="AC59" s="613"/>
      <c r="AD59" s="619"/>
      <c r="AE59" s="609"/>
      <c r="AF59" s="609"/>
      <c r="AG59" s="609"/>
    </row>
    <row r="60" spans="1:33" ht="12.75">
      <c r="A60" s="615" t="s">
        <v>1244</v>
      </c>
      <c r="B60" s="633"/>
      <c r="C60" s="633"/>
      <c r="D60" s="633"/>
      <c r="E60" s="633"/>
      <c r="F60" s="628"/>
      <c r="G60" s="606"/>
      <c r="H60" s="606"/>
      <c r="I60" s="606"/>
      <c r="J60" s="606"/>
      <c r="K60" s="606"/>
      <c r="L60" s="607"/>
      <c r="M60" s="607"/>
      <c r="N60" s="622"/>
      <c r="O60" s="622"/>
      <c r="P60" s="622"/>
      <c r="Q60" s="622"/>
      <c r="R60" s="622"/>
      <c r="S60" s="622"/>
      <c r="T60" s="353"/>
      <c r="U60" s="353"/>
      <c r="V60" s="651"/>
      <c r="W60" s="651"/>
      <c r="X60" s="611"/>
      <c r="Y60" s="611"/>
      <c r="Z60" s="606"/>
      <c r="AA60" s="606"/>
      <c r="AB60" s="613"/>
      <c r="AC60" s="613"/>
      <c r="AD60" s="619"/>
      <c r="AE60" s="609"/>
      <c r="AF60" s="609"/>
      <c r="AG60" s="609"/>
    </row>
    <row r="61" spans="1:33" ht="12.75">
      <c r="A61" s="615" t="s">
        <v>1245</v>
      </c>
      <c r="B61" s="633"/>
      <c r="C61" s="633"/>
      <c r="D61" s="633"/>
      <c r="E61" s="633"/>
      <c r="F61" s="618"/>
      <c r="G61" s="606"/>
      <c r="H61" s="606"/>
      <c r="I61" s="606"/>
      <c r="J61" s="606"/>
      <c r="K61" s="606"/>
      <c r="L61" s="607"/>
      <c r="M61" s="607"/>
      <c r="N61" s="607"/>
      <c r="O61" s="607"/>
      <c r="P61" s="607"/>
      <c r="Q61" s="607"/>
      <c r="R61" s="607"/>
      <c r="S61" s="607"/>
      <c r="T61" s="607"/>
      <c r="U61" s="607"/>
      <c r="V61" s="635"/>
      <c r="W61" s="635"/>
      <c r="X61" s="611"/>
      <c r="Y61" s="611"/>
      <c r="Z61" s="606"/>
      <c r="AA61" s="606"/>
      <c r="AB61" s="613"/>
      <c r="AC61" s="613"/>
      <c r="AD61" s="619"/>
      <c r="AE61" s="609"/>
      <c r="AF61" s="609"/>
      <c r="AG61" s="609"/>
    </row>
    <row r="62" spans="1:33" ht="12.75">
      <c r="A62" s="615" t="s">
        <v>1246</v>
      </c>
      <c r="B62" s="633"/>
      <c r="C62" s="633"/>
      <c r="D62" s="633"/>
      <c r="E62" s="633"/>
      <c r="F62" s="606"/>
      <c r="G62" s="606"/>
      <c r="H62" s="606"/>
      <c r="I62" s="606"/>
      <c r="J62" s="606"/>
      <c r="K62" s="606"/>
      <c r="L62" s="607"/>
      <c r="M62" s="607"/>
      <c r="N62" s="607"/>
      <c r="O62" s="607"/>
      <c r="P62" s="607"/>
      <c r="Q62" s="607"/>
      <c r="R62" s="607"/>
      <c r="S62" s="607"/>
      <c r="T62" s="637"/>
      <c r="U62" s="637"/>
      <c r="V62" s="612"/>
      <c r="W62" s="612"/>
      <c r="X62" s="611"/>
      <c r="Y62" s="611"/>
      <c r="Z62" s="637"/>
      <c r="AA62" s="637"/>
      <c r="AB62" s="613"/>
      <c r="AC62" s="613"/>
      <c r="AD62" s="619"/>
      <c r="AE62" s="609"/>
      <c r="AF62" s="609"/>
      <c r="AG62" s="609"/>
    </row>
    <row r="63" spans="1:33" ht="12.75">
      <c r="A63" s="615" t="s">
        <v>1247</v>
      </c>
      <c r="B63" s="633"/>
      <c r="C63" s="633"/>
      <c r="D63" s="633"/>
      <c r="E63" s="633"/>
      <c r="F63" s="606"/>
      <c r="G63" s="606"/>
      <c r="H63" s="606"/>
      <c r="I63" s="606"/>
      <c r="J63" s="606"/>
      <c r="K63" s="606"/>
      <c r="L63" s="607"/>
      <c r="M63" s="607"/>
      <c r="N63" s="607"/>
      <c r="O63" s="607"/>
      <c r="P63" s="607"/>
      <c r="Q63" s="607"/>
      <c r="R63" s="607"/>
      <c r="S63" s="607"/>
      <c r="T63" s="607"/>
      <c r="U63" s="607"/>
      <c r="V63" s="635"/>
      <c r="W63" s="635"/>
      <c r="X63" s="611"/>
      <c r="Y63" s="611"/>
      <c r="Z63" s="637"/>
      <c r="AA63" s="637"/>
      <c r="AB63" s="613"/>
      <c r="AC63" s="613"/>
      <c r="AD63" s="619"/>
      <c r="AE63" s="609"/>
      <c r="AF63" s="609"/>
      <c r="AG63" s="609"/>
    </row>
    <row r="64" spans="1:33" ht="12.75">
      <c r="A64" s="615" t="s">
        <v>1248</v>
      </c>
      <c r="B64" s="633"/>
      <c r="C64" s="633"/>
      <c r="D64" s="633"/>
      <c r="E64" s="633"/>
      <c r="F64" s="606"/>
      <c r="G64" s="606"/>
      <c r="H64" s="606"/>
      <c r="I64" s="606"/>
      <c r="J64" s="606"/>
      <c r="K64" s="606"/>
      <c r="L64" s="607"/>
      <c r="M64" s="607"/>
      <c r="N64" s="607"/>
      <c r="O64" s="607"/>
      <c r="P64" s="607"/>
      <c r="Q64" s="607"/>
      <c r="R64" s="607"/>
      <c r="S64" s="607"/>
      <c r="T64" s="607"/>
      <c r="U64" s="607"/>
      <c r="V64" s="635"/>
      <c r="W64" s="635"/>
      <c r="X64" s="653"/>
      <c r="Y64" s="653"/>
      <c r="Z64" s="608"/>
      <c r="AA64" s="608"/>
      <c r="AB64" s="613"/>
      <c r="AC64" s="613"/>
      <c r="AD64" s="619"/>
      <c r="AE64" s="609"/>
      <c r="AF64" s="609"/>
      <c r="AG64" s="609"/>
    </row>
    <row r="65" spans="1:33" ht="12.75">
      <c r="A65" s="615" t="s">
        <v>1249</v>
      </c>
      <c r="B65" s="633"/>
      <c r="C65" s="633"/>
      <c r="D65" s="633"/>
      <c r="E65" s="633"/>
      <c r="F65" s="606"/>
      <c r="G65" s="606"/>
      <c r="H65" s="606"/>
      <c r="I65" s="606"/>
      <c r="J65" s="606"/>
      <c r="K65" s="606"/>
      <c r="L65" s="607"/>
      <c r="M65" s="607"/>
      <c r="N65" s="607"/>
      <c r="O65" s="607"/>
      <c r="P65" s="607"/>
      <c r="Q65" s="607"/>
      <c r="R65" s="607"/>
      <c r="S65" s="607"/>
      <c r="T65" s="606"/>
      <c r="U65" s="606"/>
      <c r="V65" s="635"/>
      <c r="W65" s="635"/>
      <c r="X65" s="653"/>
      <c r="Y65" s="653"/>
      <c r="Z65" s="608"/>
      <c r="AA65" s="608"/>
      <c r="AB65" s="613"/>
      <c r="AC65" s="613"/>
      <c r="AD65" s="619"/>
      <c r="AE65" s="609"/>
      <c r="AF65" s="609"/>
      <c r="AG65" s="609"/>
    </row>
    <row r="66" spans="1:33" ht="12.75">
      <c r="A66" s="615" t="s">
        <v>1250</v>
      </c>
      <c r="B66" s="633"/>
      <c r="C66" s="633"/>
      <c r="D66" s="633"/>
      <c r="E66" s="633"/>
      <c r="F66" s="606"/>
      <c r="G66" s="606"/>
      <c r="H66" s="606"/>
      <c r="I66" s="606"/>
      <c r="J66" s="606"/>
      <c r="K66" s="606"/>
      <c r="L66" s="607"/>
      <c r="M66" s="607"/>
      <c r="N66" s="607"/>
      <c r="O66" s="607"/>
      <c r="P66" s="607"/>
      <c r="Q66" s="607"/>
      <c r="R66" s="607"/>
      <c r="S66" s="607"/>
      <c r="T66" s="607"/>
      <c r="U66" s="607"/>
      <c r="V66" s="635"/>
      <c r="W66" s="635"/>
      <c r="X66" s="653"/>
      <c r="Y66" s="653"/>
      <c r="Z66" s="608"/>
      <c r="AA66" s="608"/>
      <c r="AB66" s="613"/>
      <c r="AC66" s="613"/>
      <c r="AD66" s="619"/>
      <c r="AE66" s="609"/>
      <c r="AF66" s="609"/>
      <c r="AG66" s="609"/>
    </row>
    <row r="67" spans="1:33" ht="13.5" thickBot="1">
      <c r="A67" s="615" t="s">
        <v>1251</v>
      </c>
      <c r="B67" s="654">
        <v>60898051.7</v>
      </c>
      <c r="C67" s="654">
        <v>60898051.7</v>
      </c>
      <c r="D67" s="654"/>
      <c r="E67" s="654"/>
      <c r="F67" s="606"/>
      <c r="G67" s="606"/>
      <c r="H67" s="606"/>
      <c r="I67" s="606"/>
      <c r="J67" s="606"/>
      <c r="K67" s="606"/>
      <c r="L67" s="607"/>
      <c r="M67" s="607"/>
      <c r="N67" s="607"/>
      <c r="O67" s="607"/>
      <c r="P67" s="607"/>
      <c r="Q67" s="607"/>
      <c r="R67" s="607"/>
      <c r="S67" s="607"/>
      <c r="T67" s="607"/>
      <c r="U67" s="607"/>
      <c r="V67" s="635"/>
      <c r="W67" s="635"/>
      <c r="X67" s="653"/>
      <c r="Y67" s="653"/>
      <c r="Z67" s="712"/>
      <c r="AA67" s="712"/>
      <c r="AB67" s="655"/>
      <c r="AC67" s="655"/>
      <c r="AD67" s="656"/>
      <c r="AE67" s="657"/>
      <c r="AF67" s="657"/>
      <c r="AG67" s="657"/>
    </row>
    <row r="68" spans="1:33" ht="13.5" thickBot="1">
      <c r="A68" s="658" t="s">
        <v>1252</v>
      </c>
      <c r="B68" s="659">
        <f aca="true" t="shared" si="0" ref="B68:AG68">SUM(B34:B67)</f>
        <v>89040531.24000001</v>
      </c>
      <c r="C68" s="659">
        <f>SUM(C34:C67)</f>
        <v>78781748.42</v>
      </c>
      <c r="D68" s="660">
        <f t="shared" si="0"/>
        <v>0</v>
      </c>
      <c r="E68" s="660">
        <f t="shared" si="0"/>
        <v>0</v>
      </c>
      <c r="F68" s="661">
        <f t="shared" si="0"/>
        <v>0</v>
      </c>
      <c r="G68" s="661">
        <f t="shared" si="0"/>
        <v>0</v>
      </c>
      <c r="H68" s="661">
        <f t="shared" si="0"/>
        <v>0</v>
      </c>
      <c r="I68" s="661">
        <f t="shared" si="0"/>
        <v>0</v>
      </c>
      <c r="J68" s="661">
        <f t="shared" si="0"/>
        <v>0</v>
      </c>
      <c r="K68" s="661">
        <f>SUM(K34:K67)</f>
        <v>0</v>
      </c>
      <c r="L68" s="661">
        <f>SUM(L34:L67)</f>
        <v>0</v>
      </c>
      <c r="M68" s="661">
        <f>SUM(M34:M67)</f>
        <v>0</v>
      </c>
      <c r="N68" s="661">
        <f>SUM(N34:N67)</f>
        <v>0</v>
      </c>
      <c r="O68" s="661">
        <f>SUM(O34:O67)</f>
        <v>0</v>
      </c>
      <c r="P68" s="661">
        <f t="shared" si="0"/>
        <v>0</v>
      </c>
      <c r="Q68" s="661">
        <f t="shared" si="0"/>
        <v>0</v>
      </c>
      <c r="R68" s="661">
        <f>SUM(R34:R67)</f>
        <v>0</v>
      </c>
      <c r="S68" s="661">
        <f>SUM(S34:S67)</f>
        <v>0</v>
      </c>
      <c r="T68" s="661">
        <f t="shared" si="0"/>
        <v>0</v>
      </c>
      <c r="U68" s="661">
        <f>SUM(U34:U67)</f>
        <v>0</v>
      </c>
      <c r="V68" s="662">
        <f t="shared" si="0"/>
        <v>0</v>
      </c>
      <c r="W68" s="662">
        <f>SUM(W34:W67)</f>
        <v>0</v>
      </c>
      <c r="X68" s="663">
        <f t="shared" si="0"/>
        <v>0</v>
      </c>
      <c r="Y68" s="663">
        <f>SUM(Y34:Y67)</f>
        <v>0</v>
      </c>
      <c r="Z68" s="664">
        <f t="shared" si="0"/>
        <v>0</v>
      </c>
      <c r="AA68" s="664">
        <f>SUM(AA34:AA67)</f>
        <v>0</v>
      </c>
      <c r="AB68" s="664">
        <f t="shared" si="0"/>
        <v>0</v>
      </c>
      <c r="AC68" s="664">
        <f>SUM(AC34:AC67)</f>
        <v>0</v>
      </c>
      <c r="AD68" s="666">
        <f t="shared" si="0"/>
        <v>0</v>
      </c>
      <c r="AE68" s="666">
        <f t="shared" si="0"/>
        <v>0</v>
      </c>
      <c r="AF68" s="665">
        <f t="shared" si="0"/>
        <v>0</v>
      </c>
      <c r="AG68" s="665">
        <f t="shared" si="0"/>
        <v>0</v>
      </c>
    </row>
    <row r="69" spans="1:33" ht="12.75">
      <c r="A69" s="615" t="s">
        <v>1253</v>
      </c>
      <c r="B69" s="616"/>
      <c r="C69" s="616"/>
      <c r="D69" s="667"/>
      <c r="E69" s="667"/>
      <c r="F69" s="120"/>
      <c r="G69" s="120"/>
      <c r="H69" s="606"/>
      <c r="I69" s="606"/>
      <c r="J69" s="606"/>
      <c r="K69" s="606"/>
      <c r="L69" s="607"/>
      <c r="M69" s="607"/>
      <c r="N69" s="607"/>
      <c r="O69" s="607"/>
      <c r="P69" s="607"/>
      <c r="Q69" s="607"/>
      <c r="R69" s="607"/>
      <c r="S69" s="607"/>
      <c r="T69" s="607"/>
      <c r="U69" s="607"/>
      <c r="V69" s="635"/>
      <c r="W69" s="635"/>
      <c r="X69" s="668"/>
      <c r="Y69" s="668"/>
      <c r="Z69" s="657"/>
      <c r="AA69" s="657"/>
      <c r="AB69" s="608"/>
      <c r="AC69" s="608"/>
      <c r="AD69" s="605"/>
      <c r="AE69" s="605"/>
      <c r="AF69" s="605"/>
      <c r="AG69" s="605"/>
    </row>
    <row r="70" spans="1:33" ht="12.75">
      <c r="A70" s="615" t="s">
        <v>1254</v>
      </c>
      <c r="B70" s="631"/>
      <c r="C70" s="631"/>
      <c r="D70" s="631"/>
      <c r="E70" s="631"/>
      <c r="F70" s="606"/>
      <c r="G70" s="606"/>
      <c r="H70" s="606"/>
      <c r="I70" s="606"/>
      <c r="J70" s="606"/>
      <c r="K70" s="606"/>
      <c r="L70" s="607"/>
      <c r="M70" s="607"/>
      <c r="N70" s="607"/>
      <c r="O70" s="607"/>
      <c r="P70" s="607"/>
      <c r="Q70" s="607"/>
      <c r="R70" s="607"/>
      <c r="S70" s="607"/>
      <c r="T70" s="669"/>
      <c r="U70" s="669"/>
      <c r="V70" s="670"/>
      <c r="W70" s="670"/>
      <c r="X70" s="611"/>
      <c r="Y70" s="611"/>
      <c r="Z70" s="606"/>
      <c r="AA70" s="606"/>
      <c r="AB70" s="671"/>
      <c r="AC70" s="671"/>
      <c r="AD70" s="609"/>
      <c r="AE70" s="609"/>
      <c r="AF70" s="609"/>
      <c r="AG70" s="609"/>
    </row>
    <row r="71" spans="1:33" ht="12.75">
      <c r="A71" s="615" t="s">
        <v>1255</v>
      </c>
      <c r="B71" s="631">
        <v>11157751.95</v>
      </c>
      <c r="C71" s="631">
        <v>11157751.95</v>
      </c>
      <c r="D71" s="631"/>
      <c r="E71" s="631"/>
      <c r="F71" s="606"/>
      <c r="G71" s="606"/>
      <c r="H71" s="606"/>
      <c r="I71" s="606"/>
      <c r="J71" s="606"/>
      <c r="K71" s="606"/>
      <c r="L71" s="607"/>
      <c r="M71" s="607"/>
      <c r="N71" s="607"/>
      <c r="O71" s="607"/>
      <c r="P71" s="617"/>
      <c r="Q71" s="617"/>
      <c r="R71" s="607"/>
      <c r="S71" s="607"/>
      <c r="T71" s="669"/>
      <c r="U71" s="669"/>
      <c r="V71" s="670"/>
      <c r="W71" s="670"/>
      <c r="X71" s="611"/>
      <c r="Y71" s="611"/>
      <c r="Z71" s="606"/>
      <c r="AA71" s="606"/>
      <c r="AB71" s="120"/>
      <c r="AC71" s="120"/>
      <c r="AD71" s="609"/>
      <c r="AE71" s="609"/>
      <c r="AF71" s="609"/>
      <c r="AG71" s="609"/>
    </row>
    <row r="72" spans="1:33" ht="12.75">
      <c r="A72" s="615" t="s">
        <v>1256</v>
      </c>
      <c r="B72" s="631"/>
      <c r="C72" s="631"/>
      <c r="D72" s="631"/>
      <c r="E72" s="631"/>
      <c r="F72" s="606"/>
      <c r="G72" s="606"/>
      <c r="H72" s="606"/>
      <c r="I72" s="606"/>
      <c r="J72" s="606"/>
      <c r="K72" s="606"/>
      <c r="L72" s="607"/>
      <c r="M72" s="607"/>
      <c r="N72" s="607"/>
      <c r="O72" s="607"/>
      <c r="P72" s="607"/>
      <c r="Q72" s="607"/>
      <c r="R72" s="607"/>
      <c r="S72" s="607"/>
      <c r="T72" s="669"/>
      <c r="U72" s="669"/>
      <c r="V72" s="670"/>
      <c r="W72" s="670"/>
      <c r="X72" s="611"/>
      <c r="Y72" s="611"/>
      <c r="Z72" s="606"/>
      <c r="AA72" s="606"/>
      <c r="AB72" s="613"/>
      <c r="AC72" s="613"/>
      <c r="AD72" s="609"/>
      <c r="AE72" s="609"/>
      <c r="AF72" s="609"/>
      <c r="AG72" s="609"/>
    </row>
    <row r="73" spans="1:33" ht="12.75">
      <c r="A73" s="615" t="s">
        <v>1257</v>
      </c>
      <c r="B73" s="631"/>
      <c r="C73" s="631"/>
      <c r="D73" s="631"/>
      <c r="E73" s="631"/>
      <c r="F73" s="606"/>
      <c r="G73" s="606"/>
      <c r="H73" s="606"/>
      <c r="I73" s="606"/>
      <c r="J73" s="606"/>
      <c r="K73" s="606"/>
      <c r="L73" s="607"/>
      <c r="M73" s="607"/>
      <c r="N73" s="607"/>
      <c r="O73" s="607"/>
      <c r="P73" s="607"/>
      <c r="Q73" s="607"/>
      <c r="R73" s="623"/>
      <c r="S73" s="607"/>
      <c r="T73" s="669"/>
      <c r="U73" s="669"/>
      <c r="V73" s="670"/>
      <c r="W73" s="670"/>
      <c r="X73" s="611"/>
      <c r="Y73" s="611"/>
      <c r="Z73" s="606"/>
      <c r="AA73" s="606"/>
      <c r="AB73" s="613"/>
      <c r="AC73" s="613"/>
      <c r="AD73" s="609"/>
      <c r="AE73" s="609"/>
      <c r="AF73" s="609"/>
      <c r="AG73" s="609"/>
    </row>
    <row r="74" spans="1:33" ht="12.75">
      <c r="A74" s="615" t="s">
        <v>1258</v>
      </c>
      <c r="B74" s="631"/>
      <c r="C74" s="631"/>
      <c r="D74" s="631"/>
      <c r="E74" s="631"/>
      <c r="F74" s="606"/>
      <c r="G74" s="606"/>
      <c r="H74" s="606"/>
      <c r="I74" s="606"/>
      <c r="J74" s="606"/>
      <c r="K74" s="606"/>
      <c r="L74" s="607"/>
      <c r="M74" s="607"/>
      <c r="N74" s="607"/>
      <c r="O74" s="607"/>
      <c r="P74" s="607"/>
      <c r="Q74" s="607"/>
      <c r="R74" s="607"/>
      <c r="S74" s="607"/>
      <c r="T74" s="669"/>
      <c r="U74" s="669"/>
      <c r="V74" s="670"/>
      <c r="W74" s="670"/>
      <c r="X74" s="672"/>
      <c r="Y74" s="672"/>
      <c r="Z74" s="606"/>
      <c r="AA74" s="606"/>
      <c r="AB74" s="613"/>
      <c r="AC74" s="613"/>
      <c r="AD74" s="609"/>
      <c r="AE74" s="609"/>
      <c r="AF74" s="609"/>
      <c r="AG74" s="609"/>
    </row>
    <row r="75" spans="1:33" ht="12.75">
      <c r="A75" s="615" t="s">
        <v>1233</v>
      </c>
      <c r="B75" s="631"/>
      <c r="C75" s="631"/>
      <c r="D75" s="631"/>
      <c r="E75" s="631"/>
      <c r="F75" s="606"/>
      <c r="G75" s="606"/>
      <c r="H75" s="606"/>
      <c r="I75" s="606"/>
      <c r="J75" s="606"/>
      <c r="K75" s="606"/>
      <c r="L75" s="607"/>
      <c r="M75" s="607"/>
      <c r="N75" s="607"/>
      <c r="O75" s="607"/>
      <c r="P75" s="607"/>
      <c r="Q75" s="607"/>
      <c r="R75" s="607"/>
      <c r="S75" s="607"/>
      <c r="T75" s="669"/>
      <c r="U75" s="669"/>
      <c r="V75" s="670"/>
      <c r="W75" s="670"/>
      <c r="X75" s="611"/>
      <c r="Y75" s="611"/>
      <c r="Z75" s="606"/>
      <c r="AA75" s="606"/>
      <c r="AB75" s="613"/>
      <c r="AC75" s="613"/>
      <c r="AD75" s="613"/>
      <c r="AE75" s="613"/>
      <c r="AF75" s="613"/>
      <c r="AG75" s="613"/>
    </row>
    <row r="76" spans="1:33" ht="12.75">
      <c r="A76" s="615" t="s">
        <v>1259</v>
      </c>
      <c r="B76" s="631">
        <v>5421873.25</v>
      </c>
      <c r="C76" s="631"/>
      <c r="D76" s="631"/>
      <c r="E76" s="631"/>
      <c r="F76" s="606"/>
      <c r="G76" s="606"/>
      <c r="H76" s="606"/>
      <c r="I76" s="606"/>
      <c r="J76" s="606"/>
      <c r="K76" s="606"/>
      <c r="L76" s="607"/>
      <c r="M76" s="607"/>
      <c r="N76" s="607"/>
      <c r="O76" s="607"/>
      <c r="P76" s="607"/>
      <c r="Q76" s="607"/>
      <c r="R76" s="607"/>
      <c r="S76" s="607"/>
      <c r="T76" s="669"/>
      <c r="U76" s="669"/>
      <c r="V76" s="670"/>
      <c r="W76" s="670"/>
      <c r="X76" s="669"/>
      <c r="Y76" s="669"/>
      <c r="Z76" s="606"/>
      <c r="AA76" s="606"/>
      <c r="AB76" s="613"/>
      <c r="AC76" s="613"/>
      <c r="AD76" s="609"/>
      <c r="AE76" s="609"/>
      <c r="AF76" s="609"/>
      <c r="AG76" s="609"/>
    </row>
    <row r="77" spans="1:33" ht="12.75">
      <c r="A77" s="615" t="s">
        <v>1260</v>
      </c>
      <c r="B77" s="631"/>
      <c r="C77" s="631"/>
      <c r="D77" s="631"/>
      <c r="E77" s="631"/>
      <c r="F77" s="606"/>
      <c r="G77" s="606"/>
      <c r="H77" s="606"/>
      <c r="I77" s="606"/>
      <c r="J77" s="606"/>
      <c r="K77" s="606"/>
      <c r="L77" s="607"/>
      <c r="M77" s="607"/>
      <c r="N77" s="607"/>
      <c r="O77" s="607"/>
      <c r="P77" s="607"/>
      <c r="Q77" s="607"/>
      <c r="R77" s="607"/>
      <c r="S77" s="607"/>
      <c r="T77" s="672"/>
      <c r="U77" s="672"/>
      <c r="V77" s="673"/>
      <c r="W77" s="673"/>
      <c r="X77" s="611"/>
      <c r="Y77" s="611"/>
      <c r="Z77" s="606"/>
      <c r="AA77" s="606"/>
      <c r="AB77" s="609"/>
      <c r="AC77" s="609"/>
      <c r="AD77" s="619"/>
      <c r="AE77" s="609"/>
      <c r="AF77" s="609"/>
      <c r="AG77" s="609"/>
    </row>
    <row r="78" spans="1:33" ht="12.75">
      <c r="A78" s="615" t="s">
        <v>1261</v>
      </c>
      <c r="B78" s="631"/>
      <c r="C78" s="631"/>
      <c r="D78" s="631"/>
      <c r="E78" s="631"/>
      <c r="F78" s="606"/>
      <c r="G78" s="606"/>
      <c r="H78" s="606"/>
      <c r="I78" s="606"/>
      <c r="J78" s="606"/>
      <c r="K78" s="606"/>
      <c r="L78" s="607"/>
      <c r="M78" s="607"/>
      <c r="N78" s="607"/>
      <c r="O78" s="607"/>
      <c r="P78" s="607"/>
      <c r="Q78" s="607"/>
      <c r="R78" s="607"/>
      <c r="S78" s="607"/>
      <c r="T78" s="669"/>
      <c r="U78" s="669"/>
      <c r="V78" s="673"/>
      <c r="W78" s="673"/>
      <c r="X78" s="611"/>
      <c r="Y78" s="611"/>
      <c r="Z78" s="606"/>
      <c r="AA78" s="606"/>
      <c r="AB78" s="613"/>
      <c r="AC78" s="613"/>
      <c r="AD78" s="619"/>
      <c r="AE78" s="619"/>
      <c r="AF78" s="678"/>
      <c r="AG78" s="678"/>
    </row>
    <row r="79" spans="1:33" ht="12.75">
      <c r="A79" s="615" t="s">
        <v>1262</v>
      </c>
      <c r="D79" s="631"/>
      <c r="E79" s="631"/>
      <c r="F79" s="606"/>
      <c r="G79" s="606"/>
      <c r="H79" s="606"/>
      <c r="I79" s="606"/>
      <c r="J79" s="606"/>
      <c r="K79" s="606"/>
      <c r="L79" s="607"/>
      <c r="M79" s="607"/>
      <c r="N79" s="607"/>
      <c r="O79" s="607"/>
      <c r="P79" s="607"/>
      <c r="Q79" s="607"/>
      <c r="R79" s="607"/>
      <c r="S79" s="607"/>
      <c r="T79" s="669"/>
      <c r="U79" s="669"/>
      <c r="V79" s="673"/>
      <c r="W79" s="673"/>
      <c r="X79" s="611"/>
      <c r="Y79" s="611"/>
      <c r="Z79" s="606"/>
      <c r="AA79" s="606"/>
      <c r="AB79" s="613"/>
      <c r="AC79" s="613"/>
      <c r="AD79" s="619"/>
      <c r="AE79" s="619"/>
      <c r="AF79" s="678"/>
      <c r="AG79" s="678"/>
    </row>
    <row r="80" spans="1:33" ht="12.75">
      <c r="A80" s="615" t="s">
        <v>1263</v>
      </c>
      <c r="B80" s="631"/>
      <c r="C80" s="631"/>
      <c r="D80" s="631"/>
      <c r="E80" s="631"/>
      <c r="F80" s="606"/>
      <c r="G80" s="606"/>
      <c r="H80" s="606"/>
      <c r="I80" s="606"/>
      <c r="J80" s="606"/>
      <c r="K80" s="606"/>
      <c r="L80" s="607"/>
      <c r="M80" s="607"/>
      <c r="N80" s="607"/>
      <c r="O80" s="607"/>
      <c r="P80" s="607"/>
      <c r="Q80" s="607"/>
      <c r="R80" s="607"/>
      <c r="S80" s="607"/>
      <c r="T80" s="669"/>
      <c r="U80" s="669"/>
      <c r="V80" s="670"/>
      <c r="W80" s="670"/>
      <c r="X80" s="337"/>
      <c r="Y80" s="337"/>
      <c r="Z80" s="606"/>
      <c r="AA80" s="606"/>
      <c r="AB80" s="647"/>
      <c r="AC80" s="647"/>
      <c r="AD80" s="620"/>
      <c r="AE80" s="620"/>
      <c r="AF80" s="612"/>
      <c r="AG80" s="612"/>
    </row>
    <row r="81" spans="1:33" ht="12.75">
      <c r="A81" s="615" t="s">
        <v>1264</v>
      </c>
      <c r="B81" s="631"/>
      <c r="C81" s="631"/>
      <c r="D81" s="631"/>
      <c r="E81" s="631"/>
      <c r="F81" s="606"/>
      <c r="G81" s="606"/>
      <c r="H81" s="606"/>
      <c r="I81" s="606"/>
      <c r="J81" s="606"/>
      <c r="K81" s="606"/>
      <c r="L81" s="623"/>
      <c r="M81" s="623"/>
      <c r="N81" s="612"/>
      <c r="O81" s="612"/>
      <c r="P81" s="607"/>
      <c r="Q81" s="607"/>
      <c r="R81" s="607"/>
      <c r="S81" s="607"/>
      <c r="T81" s="611"/>
      <c r="U81" s="611"/>
      <c r="V81" s="672"/>
      <c r="W81" s="672"/>
      <c r="X81" s="611"/>
      <c r="Y81" s="611"/>
      <c r="Z81" s="606"/>
      <c r="AA81" s="606"/>
      <c r="AB81" s="674"/>
      <c r="AC81" s="674"/>
      <c r="AD81" s="619"/>
      <c r="AE81" s="609"/>
      <c r="AF81" s="609"/>
      <c r="AG81" s="609"/>
    </row>
    <row r="82" spans="1:33" ht="12.75">
      <c r="A82" s="615" t="s">
        <v>1265</v>
      </c>
      <c r="B82" s="631"/>
      <c r="C82" s="631"/>
      <c r="D82" s="631"/>
      <c r="E82" s="631"/>
      <c r="F82" s="606"/>
      <c r="G82" s="606"/>
      <c r="H82" s="606"/>
      <c r="I82" s="606"/>
      <c r="J82" s="606"/>
      <c r="K82" s="606"/>
      <c r="L82" s="623"/>
      <c r="M82" s="623"/>
      <c r="N82" s="612"/>
      <c r="O82" s="612"/>
      <c r="P82" s="607"/>
      <c r="Q82" s="607"/>
      <c r="R82" s="607"/>
      <c r="S82" s="607"/>
      <c r="T82" s="611"/>
      <c r="U82" s="611"/>
      <c r="V82" s="672"/>
      <c r="W82" s="672"/>
      <c r="X82" s="630"/>
      <c r="Y82" s="630"/>
      <c r="Z82" s="606"/>
      <c r="AA82" s="606"/>
      <c r="AB82" s="675"/>
      <c r="AC82" s="675"/>
      <c r="AD82" s="619"/>
      <c r="AE82" s="609"/>
      <c r="AF82" s="609"/>
      <c r="AG82" s="609"/>
    </row>
    <row r="83" spans="1:33" ht="12.75">
      <c r="A83" s="615" t="s">
        <v>1266</v>
      </c>
      <c r="B83" s="676"/>
      <c r="C83" s="676"/>
      <c r="D83" s="631"/>
      <c r="E83" s="631"/>
      <c r="F83" s="606"/>
      <c r="G83" s="606"/>
      <c r="H83" s="606"/>
      <c r="I83" s="606"/>
      <c r="J83" s="606"/>
      <c r="K83" s="606"/>
      <c r="L83" s="623"/>
      <c r="M83" s="623"/>
      <c r="N83" s="612"/>
      <c r="O83" s="612"/>
      <c r="P83" s="607"/>
      <c r="Q83" s="607"/>
      <c r="R83" s="607"/>
      <c r="S83" s="607"/>
      <c r="T83" s="611"/>
      <c r="U83" s="611"/>
      <c r="V83" s="672"/>
      <c r="W83" s="672"/>
      <c r="X83" s="611"/>
      <c r="Y83" s="611"/>
      <c r="Z83" s="606"/>
      <c r="AA83" s="606"/>
      <c r="AB83" s="675"/>
      <c r="AC83" s="675"/>
      <c r="AD83" s="619"/>
      <c r="AE83" s="609"/>
      <c r="AF83" s="609"/>
      <c r="AG83" s="609"/>
    </row>
    <row r="84" spans="1:33" ht="12.75">
      <c r="A84" s="615" t="s">
        <v>1267</v>
      </c>
      <c r="B84" s="618">
        <v>37100</v>
      </c>
      <c r="C84" s="618">
        <v>37100</v>
      </c>
      <c r="D84" s="631"/>
      <c r="E84" s="631"/>
      <c r="F84" s="606"/>
      <c r="G84" s="606"/>
      <c r="H84" s="606"/>
      <c r="I84" s="606"/>
      <c r="J84" s="606"/>
      <c r="K84" s="606"/>
      <c r="L84" s="607"/>
      <c r="M84" s="607"/>
      <c r="N84" s="607"/>
      <c r="O84" s="607"/>
      <c r="P84" s="607"/>
      <c r="Q84" s="607"/>
      <c r="R84" s="607"/>
      <c r="S84" s="607"/>
      <c r="T84" s="669"/>
      <c r="U84" s="669"/>
      <c r="V84" s="670"/>
      <c r="W84" s="670"/>
      <c r="X84" s="611"/>
      <c r="Y84" s="611"/>
      <c r="Z84" s="606"/>
      <c r="AA84" s="606"/>
      <c r="AB84" s="613"/>
      <c r="AC84" s="613"/>
      <c r="AD84" s="619"/>
      <c r="AE84" s="609"/>
      <c r="AF84" s="609"/>
      <c r="AG84" s="609"/>
    </row>
    <row r="85" spans="1:33" ht="12.75">
      <c r="A85" s="615"/>
      <c r="B85" s="618"/>
      <c r="C85" s="618"/>
      <c r="D85" s="631"/>
      <c r="E85" s="631"/>
      <c r="F85" s="713"/>
      <c r="G85" s="606"/>
      <c r="H85" s="606"/>
      <c r="I85" s="606"/>
      <c r="J85" s="606"/>
      <c r="K85" s="606"/>
      <c r="L85" s="607"/>
      <c r="M85" s="607"/>
      <c r="N85" s="624"/>
      <c r="O85" s="612"/>
      <c r="P85" s="607"/>
      <c r="Q85" s="607"/>
      <c r="R85" s="617"/>
      <c r="S85" s="617"/>
      <c r="T85" s="669"/>
      <c r="U85" s="669"/>
      <c r="V85" s="670"/>
      <c r="W85" s="670"/>
      <c r="X85" s="611"/>
      <c r="Y85" s="611"/>
      <c r="Z85" s="606"/>
      <c r="AA85" s="606"/>
      <c r="AB85" s="626"/>
      <c r="AC85" s="626"/>
      <c r="AD85" s="678"/>
      <c r="AE85" s="678"/>
      <c r="AF85" s="609"/>
      <c r="AG85" s="609"/>
    </row>
    <row r="86" spans="1:33" ht="12.75">
      <c r="A86" s="615" t="s">
        <v>1268</v>
      </c>
      <c r="B86" s="631"/>
      <c r="C86" s="631"/>
      <c r="D86" s="631"/>
      <c r="E86" s="631"/>
      <c r="F86" s="606"/>
      <c r="G86" s="628"/>
      <c r="H86" s="606"/>
      <c r="I86" s="606"/>
      <c r="J86" s="606"/>
      <c r="K86" s="606"/>
      <c r="L86" s="611"/>
      <c r="M86" s="611"/>
      <c r="N86" s="120"/>
      <c r="O86" s="564"/>
      <c r="P86" s="611"/>
      <c r="Q86" s="611"/>
      <c r="R86" s="618"/>
      <c r="S86" s="618"/>
      <c r="T86" s="611"/>
      <c r="U86" s="611"/>
      <c r="V86" s="679"/>
      <c r="W86" s="679"/>
      <c r="X86" s="611"/>
      <c r="Y86" s="611"/>
      <c r="Z86" s="606"/>
      <c r="AA86" s="606"/>
      <c r="AB86" s="613"/>
      <c r="AC86" s="613"/>
      <c r="AD86" s="612"/>
      <c r="AE86" s="612"/>
      <c r="AF86" s="609"/>
      <c r="AG86" s="609"/>
    </row>
    <row r="87" spans="1:33" ht="12.75">
      <c r="A87" s="615" t="s">
        <v>1269</v>
      </c>
      <c r="B87" s="677">
        <v>324665.48</v>
      </c>
      <c r="C87" s="677">
        <v>324665.48</v>
      </c>
      <c r="D87" s="631"/>
      <c r="E87" s="631"/>
      <c r="F87" s="606"/>
      <c r="G87" s="606"/>
      <c r="H87" s="606"/>
      <c r="I87" s="606"/>
      <c r="J87" s="606"/>
      <c r="K87" s="606"/>
      <c r="L87" s="607"/>
      <c r="M87" s="607"/>
      <c r="N87" s="607"/>
      <c r="O87" s="607"/>
      <c r="P87" s="607"/>
      <c r="Q87" s="607"/>
      <c r="R87" s="606"/>
      <c r="S87" s="606"/>
      <c r="T87" s="680"/>
      <c r="U87" s="680"/>
      <c r="V87" s="679"/>
      <c r="W87" s="679"/>
      <c r="X87" s="630"/>
      <c r="Y87" s="630"/>
      <c r="Z87" s="606"/>
      <c r="AA87" s="606"/>
      <c r="AB87" s="613"/>
      <c r="AC87" s="613"/>
      <c r="AD87" s="609"/>
      <c r="AE87" s="609"/>
      <c r="AF87" s="609"/>
      <c r="AG87" s="609"/>
    </row>
    <row r="88" spans="1:33" ht="12.75">
      <c r="A88" s="615" t="s">
        <v>1270</v>
      </c>
      <c r="B88" s="631"/>
      <c r="C88" s="631"/>
      <c r="D88" s="631"/>
      <c r="E88" s="631"/>
      <c r="F88" s="618"/>
      <c r="G88" s="606"/>
      <c r="H88" s="606"/>
      <c r="I88" s="606"/>
      <c r="J88" s="606"/>
      <c r="K88" s="606"/>
      <c r="L88" s="681"/>
      <c r="M88" s="681"/>
      <c r="N88" s="612"/>
      <c r="O88" s="612"/>
      <c r="P88" s="622"/>
      <c r="Q88" s="622"/>
      <c r="R88" s="673"/>
      <c r="S88" s="673"/>
      <c r="T88" s="337"/>
      <c r="U88" s="337"/>
      <c r="V88" s="682"/>
      <c r="W88" s="682"/>
      <c r="X88" s="611"/>
      <c r="Y88" s="611"/>
      <c r="Z88" s="606"/>
      <c r="AA88" s="606"/>
      <c r="AB88" s="613"/>
      <c r="AC88" s="613"/>
      <c r="AD88" s="609"/>
      <c r="AE88" s="609"/>
      <c r="AF88" s="609"/>
      <c r="AG88" s="609"/>
    </row>
    <row r="89" spans="1:33" ht="12.75">
      <c r="A89" s="683" t="s">
        <v>1271</v>
      </c>
      <c r="B89" s="618"/>
      <c r="C89" s="618"/>
      <c r="D89" s="631"/>
      <c r="E89" s="631"/>
      <c r="F89" s="606"/>
      <c r="G89" s="606"/>
      <c r="H89" s="606"/>
      <c r="I89" s="606"/>
      <c r="J89" s="606"/>
      <c r="K89" s="606"/>
      <c r="L89" s="684"/>
      <c r="M89" s="684"/>
      <c r="N89" s="618"/>
      <c r="O89" s="618"/>
      <c r="P89" s="622"/>
      <c r="Q89" s="622"/>
      <c r="R89" s="651"/>
      <c r="S89" s="651"/>
      <c r="T89" s="337"/>
      <c r="U89" s="337"/>
      <c r="V89" s="300"/>
      <c r="W89" s="300"/>
      <c r="X89" s="611"/>
      <c r="Y89" s="611"/>
      <c r="Z89" s="606"/>
      <c r="AA89" s="606"/>
      <c r="AB89" s="613"/>
      <c r="AC89" s="613"/>
      <c r="AD89" s="609"/>
      <c r="AE89" s="609"/>
      <c r="AF89" s="609"/>
      <c r="AG89" s="609"/>
    </row>
    <row r="90" spans="1:33" ht="12.75">
      <c r="A90" s="615" t="s">
        <v>1272</v>
      </c>
      <c r="B90" s="631"/>
      <c r="C90" s="631"/>
      <c r="D90" s="631"/>
      <c r="E90" s="631"/>
      <c r="F90" s="606"/>
      <c r="G90" s="606"/>
      <c r="H90" s="606"/>
      <c r="I90" s="606"/>
      <c r="J90" s="606"/>
      <c r="K90" s="606"/>
      <c r="L90" s="607"/>
      <c r="M90" s="607"/>
      <c r="N90" s="607"/>
      <c r="O90" s="607"/>
      <c r="P90" s="607"/>
      <c r="Q90" s="607"/>
      <c r="R90" s="607"/>
      <c r="S90" s="607"/>
      <c r="T90" s="611"/>
      <c r="U90" s="611"/>
      <c r="V90" s="672"/>
      <c r="W90" s="672"/>
      <c r="X90" s="611"/>
      <c r="Y90" s="611"/>
      <c r="Z90" s="606"/>
      <c r="AA90" s="606"/>
      <c r="AB90" s="613"/>
      <c r="AC90" s="613"/>
      <c r="AD90" s="609"/>
      <c r="AE90" s="609"/>
      <c r="AF90" s="609"/>
      <c r="AG90" s="609"/>
    </row>
    <row r="91" spans="1:33" ht="12.75">
      <c r="A91" s="615" t="s">
        <v>1273</v>
      </c>
      <c r="B91" s="631"/>
      <c r="C91" s="631"/>
      <c r="D91" s="631"/>
      <c r="E91" s="631"/>
      <c r="F91" s="606"/>
      <c r="G91" s="606"/>
      <c r="H91" s="606"/>
      <c r="I91" s="606"/>
      <c r="J91" s="606"/>
      <c r="K91" s="606"/>
      <c r="L91" s="607"/>
      <c r="M91" s="607"/>
      <c r="N91" s="607"/>
      <c r="O91" s="607"/>
      <c r="P91" s="607"/>
      <c r="Q91" s="607"/>
      <c r="R91" s="607"/>
      <c r="S91" s="607"/>
      <c r="T91" s="623"/>
      <c r="U91" s="623"/>
      <c r="V91" s="685"/>
      <c r="W91" s="685"/>
      <c r="X91" s="611"/>
      <c r="Y91" s="611"/>
      <c r="Z91" s="606"/>
      <c r="AA91" s="606"/>
      <c r="AB91" s="613"/>
      <c r="AC91" s="613"/>
      <c r="AD91" s="609"/>
      <c r="AE91" s="609"/>
      <c r="AF91" s="609"/>
      <c r="AG91" s="609"/>
    </row>
    <row r="92" spans="1:33" ht="12.75">
      <c r="A92" s="615" t="s">
        <v>1274</v>
      </c>
      <c r="B92" s="636">
        <v>149000</v>
      </c>
      <c r="C92" s="636">
        <v>149000</v>
      </c>
      <c r="D92" s="631"/>
      <c r="E92" s="631"/>
      <c r="F92" s="606"/>
      <c r="G92" s="606"/>
      <c r="H92" s="606"/>
      <c r="I92" s="606"/>
      <c r="J92" s="606"/>
      <c r="K92" s="606"/>
      <c r="L92" s="714"/>
      <c r="M92" s="714"/>
      <c r="N92" s="607"/>
      <c r="O92" s="607"/>
      <c r="P92" s="607"/>
      <c r="Q92" s="607"/>
      <c r="R92" s="607"/>
      <c r="S92" s="607"/>
      <c r="T92" s="669"/>
      <c r="U92" s="669"/>
      <c r="V92" s="670"/>
      <c r="W92" s="670"/>
      <c r="X92" s="611"/>
      <c r="Y92" s="611"/>
      <c r="Z92" s="606"/>
      <c r="AA92" s="606"/>
      <c r="AB92" s="613"/>
      <c r="AC92" s="613"/>
      <c r="AD92" s="609"/>
      <c r="AE92" s="609"/>
      <c r="AF92" s="609"/>
      <c r="AG92" s="609"/>
    </row>
    <row r="93" spans="1:33" ht="12.75">
      <c r="A93" s="615" t="s">
        <v>1275</v>
      </c>
      <c r="B93" s="631"/>
      <c r="C93" s="631"/>
      <c r="D93" s="631"/>
      <c r="E93" s="631"/>
      <c r="F93" s="606"/>
      <c r="G93" s="606"/>
      <c r="H93" s="606"/>
      <c r="I93" s="606"/>
      <c r="J93" s="606"/>
      <c r="K93" s="606"/>
      <c r="L93" s="607"/>
      <c r="M93" s="607"/>
      <c r="N93" s="715"/>
      <c r="O93" s="715"/>
      <c r="P93" s="606"/>
      <c r="Q93" s="606"/>
      <c r="R93" s="611"/>
      <c r="S93" s="611"/>
      <c r="T93" s="611"/>
      <c r="U93" s="611"/>
      <c r="V93" s="679"/>
      <c r="W93" s="679"/>
      <c r="X93" s="611"/>
      <c r="Y93" s="611"/>
      <c r="Z93" s="606"/>
      <c r="AA93" s="606"/>
      <c r="AB93" s="613"/>
      <c r="AC93" s="613"/>
      <c r="AD93" s="609"/>
      <c r="AE93" s="609"/>
      <c r="AF93" s="609"/>
      <c r="AG93" s="609"/>
    </row>
    <row r="94" spans="1:33" ht="12.75">
      <c r="A94" s="615" t="s">
        <v>1276</v>
      </c>
      <c r="B94" s="631">
        <v>6221208.92</v>
      </c>
      <c r="C94" s="631"/>
      <c r="D94" s="631"/>
      <c r="E94" s="631"/>
      <c r="F94" s="606"/>
      <c r="G94" s="606"/>
      <c r="H94" s="606"/>
      <c r="I94" s="606"/>
      <c r="J94" s="606"/>
      <c r="K94" s="606"/>
      <c r="L94" s="607"/>
      <c r="M94" s="607"/>
      <c r="N94" s="715"/>
      <c r="O94" s="715"/>
      <c r="P94" s="606"/>
      <c r="Q94" s="606"/>
      <c r="R94" s="611"/>
      <c r="S94" s="611"/>
      <c r="T94" s="611"/>
      <c r="U94" s="611"/>
      <c r="V94" s="679"/>
      <c r="W94" s="679"/>
      <c r="X94" s="611"/>
      <c r="Y94" s="611"/>
      <c r="Z94" s="606"/>
      <c r="AA94" s="606"/>
      <c r="AB94" s="612"/>
      <c r="AC94" s="612"/>
      <c r="AD94" s="609"/>
      <c r="AE94" s="609"/>
      <c r="AF94" s="609"/>
      <c r="AG94" s="609"/>
    </row>
    <row r="95" spans="1:33" ht="12.75">
      <c r="A95" s="615" t="s">
        <v>1277</v>
      </c>
      <c r="B95" s="631"/>
      <c r="C95" s="631"/>
      <c r="D95" s="631"/>
      <c r="E95" s="631"/>
      <c r="F95" s="606"/>
      <c r="G95" s="606"/>
      <c r="H95" s="606"/>
      <c r="I95" s="606"/>
      <c r="J95" s="606"/>
      <c r="K95" s="606"/>
      <c r="L95" s="607"/>
      <c r="M95" s="607"/>
      <c r="N95" s="715"/>
      <c r="O95" s="715"/>
      <c r="P95" s="606"/>
      <c r="Q95" s="606"/>
      <c r="R95" s="611"/>
      <c r="S95" s="611"/>
      <c r="T95" s="611"/>
      <c r="U95" s="611"/>
      <c r="V95" s="679"/>
      <c r="W95" s="679"/>
      <c r="X95" s="611"/>
      <c r="Y95" s="611"/>
      <c r="Z95" s="606"/>
      <c r="AA95" s="606"/>
      <c r="AB95" s="613"/>
      <c r="AC95" s="613"/>
      <c r="AD95" s="609"/>
      <c r="AE95" s="609"/>
      <c r="AF95" s="609"/>
      <c r="AG95" s="609"/>
    </row>
    <row r="96" spans="1:33" ht="12.75">
      <c r="A96" s="615" t="s">
        <v>1278</v>
      </c>
      <c r="B96" s="631">
        <v>320843.45</v>
      </c>
      <c r="C96" s="631">
        <v>320843.45</v>
      </c>
      <c r="D96" s="631"/>
      <c r="E96" s="631"/>
      <c r="F96" s="606"/>
      <c r="G96" s="606"/>
      <c r="H96" s="606"/>
      <c r="I96" s="606"/>
      <c r="J96" s="606"/>
      <c r="K96" s="606"/>
      <c r="L96" s="607"/>
      <c r="M96" s="607"/>
      <c r="N96" s="607"/>
      <c r="O96" s="607"/>
      <c r="P96" s="607"/>
      <c r="Q96" s="607"/>
      <c r="R96" s="607"/>
      <c r="S96" s="607"/>
      <c r="T96" s="669"/>
      <c r="U96" s="669"/>
      <c r="V96" s="670"/>
      <c r="W96" s="670"/>
      <c r="X96" s="669"/>
      <c r="Y96" s="669"/>
      <c r="Z96" s="606"/>
      <c r="AA96" s="606"/>
      <c r="AB96" s="613"/>
      <c r="AC96" s="613"/>
      <c r="AD96" s="609"/>
      <c r="AE96" s="609"/>
      <c r="AF96" s="609"/>
      <c r="AG96" s="609"/>
    </row>
    <row r="97" spans="1:33" ht="12.75">
      <c r="A97" s="615" t="s">
        <v>1279</v>
      </c>
      <c r="B97" s="631"/>
      <c r="C97" s="631"/>
      <c r="D97" s="631"/>
      <c r="E97" s="631"/>
      <c r="F97" s="606"/>
      <c r="G97" s="120"/>
      <c r="H97" s="606"/>
      <c r="I97" s="606"/>
      <c r="J97" s="606"/>
      <c r="K97" s="606"/>
      <c r="L97" s="607"/>
      <c r="M97" s="607"/>
      <c r="N97" s="607"/>
      <c r="O97" s="607"/>
      <c r="P97" s="607"/>
      <c r="Q97" s="607"/>
      <c r="R97" s="607"/>
      <c r="S97" s="607"/>
      <c r="T97" s="669"/>
      <c r="U97" s="669"/>
      <c r="V97" s="670"/>
      <c r="W97" s="670"/>
      <c r="X97" s="669"/>
      <c r="Y97" s="669"/>
      <c r="Z97" s="606"/>
      <c r="AA97" s="606"/>
      <c r="AB97" s="613"/>
      <c r="AC97" s="613"/>
      <c r="AD97" s="609"/>
      <c r="AE97" s="609"/>
      <c r="AF97" s="609"/>
      <c r="AG97" s="609"/>
    </row>
    <row r="98" spans="1:33" ht="12.75">
      <c r="A98" s="686" t="s">
        <v>1280</v>
      </c>
      <c r="B98" s="687"/>
      <c r="C98" s="687"/>
      <c r="D98" s="687"/>
      <c r="E98" s="687"/>
      <c r="F98" s="606"/>
      <c r="G98" s="606"/>
      <c r="H98" s="606"/>
      <c r="I98" s="606"/>
      <c r="J98" s="606"/>
      <c r="K98" s="606"/>
      <c r="L98" s="607"/>
      <c r="M98" s="607"/>
      <c r="N98" s="607"/>
      <c r="O98" s="607"/>
      <c r="P98" s="607"/>
      <c r="Q98" s="607"/>
      <c r="R98" s="607"/>
      <c r="S98" s="607"/>
      <c r="T98" s="669"/>
      <c r="U98" s="669"/>
      <c r="V98" s="670"/>
      <c r="W98" s="670"/>
      <c r="X98" s="688"/>
      <c r="Y98" s="688"/>
      <c r="Z98" s="606"/>
      <c r="AA98" s="606"/>
      <c r="AB98" s="655"/>
      <c r="AC98" s="655"/>
      <c r="AD98" s="657"/>
      <c r="AE98" s="657"/>
      <c r="AF98" s="657"/>
      <c r="AG98" s="657"/>
    </row>
    <row r="99" spans="1:33" ht="12.75">
      <c r="A99" s="689" t="s">
        <v>1252</v>
      </c>
      <c r="B99" s="690">
        <f>SUM(B69:B98)</f>
        <v>23632443.05</v>
      </c>
      <c r="C99" s="690">
        <f>SUM(C69:C98)</f>
        <v>11989360.879999999</v>
      </c>
      <c r="D99" s="690">
        <f>SUM(D70:D98)</f>
        <v>0</v>
      </c>
      <c r="E99" s="691">
        <f>SUM(E69:E98)</f>
        <v>0</v>
      </c>
      <c r="F99" s="691">
        <f>SUM(F71:F98)</f>
        <v>0</v>
      </c>
      <c r="G99" s="691">
        <f>SUM(G71:G98)</f>
        <v>0</v>
      </c>
      <c r="H99" s="691">
        <f>SUM(H70:H98)</f>
        <v>0</v>
      </c>
      <c r="I99" s="691">
        <f>SUM(I70:I98)</f>
        <v>0</v>
      </c>
      <c r="J99" s="691">
        <f>SUM(J71:J98)</f>
        <v>0</v>
      </c>
      <c r="K99" s="691">
        <f>SUM(K69:K98)</f>
        <v>0</v>
      </c>
      <c r="L99" s="691">
        <f>SUM(L71:L98)</f>
        <v>0</v>
      </c>
      <c r="M99" s="691">
        <f>SUM(M69:M98)</f>
        <v>0</v>
      </c>
      <c r="N99" s="691">
        <f>SUM(N69:N98)</f>
        <v>0</v>
      </c>
      <c r="O99" s="691">
        <f>SUM(O69:O98)</f>
        <v>0</v>
      </c>
      <c r="P99" s="691">
        <f>SUM(P69:P98)</f>
        <v>0</v>
      </c>
      <c r="Q99" s="690">
        <f aca="true" t="shared" si="1" ref="Q99:Z99">SUM(Q69:Q98)</f>
        <v>0</v>
      </c>
      <c r="R99" s="692">
        <f>SUM(R69:R98)</f>
        <v>0</v>
      </c>
      <c r="S99" s="690">
        <f>SUM(S69:S98)</f>
        <v>0</v>
      </c>
      <c r="T99" s="692">
        <f t="shared" si="1"/>
        <v>0</v>
      </c>
      <c r="U99" s="692">
        <f>SUM(U69:U98)</f>
        <v>0</v>
      </c>
      <c r="V99" s="662">
        <f t="shared" si="1"/>
        <v>0</v>
      </c>
      <c r="W99" s="693">
        <f t="shared" si="1"/>
        <v>0</v>
      </c>
      <c r="X99" s="692">
        <f t="shared" si="1"/>
        <v>0</v>
      </c>
      <c r="Y99" s="692">
        <f t="shared" si="1"/>
        <v>0</v>
      </c>
      <c r="Z99" s="692">
        <f t="shared" si="1"/>
        <v>0</v>
      </c>
      <c r="AA99" s="692">
        <f>SUM(AA69:AA98)</f>
        <v>0</v>
      </c>
      <c r="AB99" s="692">
        <f aca="true" t="shared" si="2" ref="AB99:AG99">SUM(AB69:AB98)</f>
        <v>0</v>
      </c>
      <c r="AC99" s="694">
        <f t="shared" si="2"/>
        <v>0</v>
      </c>
      <c r="AD99" s="694">
        <f t="shared" si="2"/>
        <v>0</v>
      </c>
      <c r="AE99" s="694">
        <f t="shared" si="2"/>
        <v>0</v>
      </c>
      <c r="AF99" s="694">
        <f t="shared" si="2"/>
        <v>0</v>
      </c>
      <c r="AG99" s="694">
        <f t="shared" si="2"/>
        <v>0</v>
      </c>
    </row>
    <row r="100" spans="1:33" ht="13.5" thickBot="1">
      <c r="A100" s="695" t="s">
        <v>1281</v>
      </c>
      <c r="B100" s="696">
        <f>B99-B68</f>
        <v>-65408088.19000001</v>
      </c>
      <c r="C100" s="697">
        <f>C68-C99</f>
        <v>66792387.54000001</v>
      </c>
      <c r="D100" s="696">
        <f>D99-D68</f>
        <v>0</v>
      </c>
      <c r="E100" s="697">
        <f>E68-E99</f>
        <v>0</v>
      </c>
      <c r="F100" s="696">
        <f>F99-F68</f>
        <v>0</v>
      </c>
      <c r="G100" s="698">
        <f>G99-G68</f>
        <v>0</v>
      </c>
      <c r="H100" s="698">
        <f>H99-H68</f>
        <v>0</v>
      </c>
      <c r="I100" s="699">
        <f>I68-I99</f>
        <v>0</v>
      </c>
      <c r="J100" s="696">
        <f>J68-J99</f>
        <v>0</v>
      </c>
      <c r="K100" s="698">
        <f>K99-K68</f>
        <v>0</v>
      </c>
      <c r="L100" s="696">
        <f>L68-L99</f>
        <v>0</v>
      </c>
      <c r="M100" s="698">
        <f>M99-M68</f>
        <v>0</v>
      </c>
      <c r="N100" s="696">
        <f>N99-N68</f>
        <v>0</v>
      </c>
      <c r="O100" s="697">
        <f>O99-O68</f>
        <v>0</v>
      </c>
      <c r="P100" s="698">
        <f>P99-P68</f>
        <v>0</v>
      </c>
      <c r="Q100" s="700">
        <f>Q68-Q99</f>
        <v>0</v>
      </c>
      <c r="R100" s="696">
        <f>R68-R99</f>
        <v>0</v>
      </c>
      <c r="S100" s="700">
        <f aca="true" t="shared" si="3" ref="S100:X100">S99-S68</f>
        <v>0</v>
      </c>
      <c r="T100" s="696">
        <f t="shared" si="3"/>
        <v>0</v>
      </c>
      <c r="U100" s="696">
        <f t="shared" si="3"/>
        <v>0</v>
      </c>
      <c r="V100" s="701">
        <f>V99-V68</f>
        <v>0</v>
      </c>
      <c r="W100" s="696">
        <f t="shared" si="3"/>
        <v>0</v>
      </c>
      <c r="X100" s="696">
        <f t="shared" si="3"/>
        <v>0</v>
      </c>
      <c r="Y100" s="702">
        <f>Y68-Y99</f>
        <v>0</v>
      </c>
      <c r="Z100" s="701">
        <f>Z99-Z68</f>
        <v>0</v>
      </c>
      <c r="AA100" s="696">
        <f>AA99-AA68</f>
        <v>0</v>
      </c>
      <c r="AB100" s="701">
        <f>AB99-AB68</f>
        <v>0</v>
      </c>
      <c r="AC100" s="696">
        <f>AC99-AC68</f>
        <v>0</v>
      </c>
      <c r="AD100" s="704">
        <f>AD68-AD99</f>
        <v>0</v>
      </c>
      <c r="AE100" s="704">
        <f>AE99-AE68</f>
        <v>0</v>
      </c>
      <c r="AF100" s="704">
        <f>AF99-AF68</f>
        <v>0</v>
      </c>
      <c r="AG100" s="704">
        <f>AG68-AG99</f>
        <v>0</v>
      </c>
    </row>
    <row r="101" spans="1:33" ht="13.5" thickTop="1">
      <c r="A101" s="705" t="s">
        <v>449</v>
      </c>
      <c r="B101" s="703"/>
      <c r="C101" s="706">
        <f>B100+C100</f>
        <v>1384299.349999994</v>
      </c>
      <c r="D101" s="703"/>
      <c r="E101" s="706">
        <f>-D100+E100</f>
        <v>0</v>
      </c>
      <c r="F101" s="638"/>
      <c r="G101" s="698">
        <f>-F100+G100</f>
        <v>0</v>
      </c>
      <c r="H101" s="638"/>
      <c r="I101" s="698">
        <f>-H100+I100</f>
        <v>0</v>
      </c>
      <c r="J101" s="638"/>
      <c r="K101" s="707">
        <f>J100+K100</f>
        <v>0</v>
      </c>
      <c r="L101" s="638"/>
      <c r="M101" s="707">
        <f>L100+M100</f>
        <v>0</v>
      </c>
      <c r="N101" s="703"/>
      <c r="O101" s="706">
        <f>N100+O100</f>
        <v>0</v>
      </c>
      <c r="P101" s="638"/>
      <c r="Q101" s="707">
        <f>P100+Q100</f>
        <v>0</v>
      </c>
      <c r="R101" s="638"/>
      <c r="S101" s="707">
        <f>R100+S100</f>
        <v>0</v>
      </c>
      <c r="T101" s="638"/>
      <c r="U101" s="707">
        <f>T100+U100</f>
        <v>0</v>
      </c>
      <c r="V101" s="708"/>
      <c r="W101" s="707">
        <f>V100+W100</f>
        <v>0</v>
      </c>
      <c r="X101" s="610"/>
      <c r="Y101" s="707">
        <f>X100+Y100</f>
        <v>0</v>
      </c>
      <c r="Z101" s="708"/>
      <c r="AA101" s="707">
        <f>Z100+AA100</f>
        <v>0</v>
      </c>
      <c r="AB101" s="652"/>
      <c r="AC101" s="707">
        <f>AB100+AC100</f>
        <v>0</v>
      </c>
      <c r="AD101" s="652"/>
      <c r="AE101" s="698">
        <f>AD100+AE100</f>
        <v>0</v>
      </c>
      <c r="AF101" s="652"/>
      <c r="AG101" s="698">
        <f>AF100+AG100</f>
        <v>0</v>
      </c>
    </row>
  </sheetData>
  <sheetProtection/>
  <mergeCells count="17">
    <mergeCell ref="L32:M32"/>
    <mergeCell ref="N32:O32"/>
    <mergeCell ref="P32:Q32"/>
    <mergeCell ref="A18:C18"/>
    <mergeCell ref="B32:C32"/>
    <mergeCell ref="D32:E32"/>
    <mergeCell ref="F32:G32"/>
    <mergeCell ref="H32:I32"/>
    <mergeCell ref="J32:K32"/>
    <mergeCell ref="AD32:AE32"/>
    <mergeCell ref="AF32:AG32"/>
    <mergeCell ref="AB32:AC32"/>
    <mergeCell ref="R32:S32"/>
    <mergeCell ref="T32:U32"/>
    <mergeCell ref="V32:W32"/>
    <mergeCell ref="X32:Y32"/>
    <mergeCell ref="Z32:AA3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RCRUZ</dc:creator>
  <cp:keywords/>
  <dc:description/>
  <cp:lastModifiedBy>Roseiby Cruz</cp:lastModifiedBy>
  <cp:lastPrinted>2018-02-01T15:46:48Z</cp:lastPrinted>
  <dcterms:created xsi:type="dcterms:W3CDTF">2001-08-23T21:14:33Z</dcterms:created>
  <dcterms:modified xsi:type="dcterms:W3CDTF">2018-02-07T20:07:23Z</dcterms:modified>
  <cp:category/>
  <cp:version/>
  <cp:contentType/>
  <cp:contentStatus/>
</cp:coreProperties>
</file>